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87" activeTab="0"/>
  </bookViews>
  <sheets>
    <sheet name="Notice explicative" sheetId="1" r:id="rId1"/>
    <sheet name="Bilan de l'année n-1" sheetId="2" r:id="rId2"/>
    <sheet name="Compte de résultat" sheetId="3" r:id="rId3"/>
    <sheet name="Plan de financement" sheetId="4" r:id="rId4"/>
    <sheet name="Salaires" sheetId="5" r:id="rId5"/>
    <sheet name="Trésorerie" sheetId="6" r:id="rId6"/>
    <sheet name="Emprunt" sheetId="7" r:id="rId7"/>
    <sheet name="Dotations aux amortissements" sheetId="8" r:id="rId8"/>
  </sheets>
  <externalReferences>
    <externalReference r:id="rId11"/>
  </externalReferences>
  <definedNames>
    <definedName name="_xlnm.Print_Area" localSheetId="2">'Compte de résultat'!$A$1:$M$103</definedName>
    <definedName name="_xlnm.Print_Area" localSheetId="7">'Dotations aux amortissements'!$A$2:$N$48</definedName>
    <definedName name="_xlnm.Print_Area" localSheetId="0">'Notice explicative'!$A$4:$BV$44</definedName>
    <definedName name="_xlnm.Print_Area" localSheetId="3">'Plan de financement'!$A$2:$M$50</definedName>
    <definedName name="_xlnm.Print_Area" localSheetId="5">'Trésorerie'!$A$1:$O$63</definedName>
    <definedName name="CAPITAL">'Emprunt'!$B$8</definedName>
    <definedName name="DUREE">'Emprunt'!$D$8</definedName>
    <definedName name="DUREE1">'Emprunt'!$D$76</definedName>
    <definedName name="DUREE2">'Emprunt'!$D$139</definedName>
    <definedName name="MENSUAL">'Emprunt'!$F$8</definedName>
    <definedName name="MENSUAL1">'Emprunt'!$F$76</definedName>
    <definedName name="MENSUAL2">'Emprunt'!$F$139</definedName>
    <definedName name="monnaie">'[1]Accueil'!$D$20</definedName>
    <definedName name="nom">'[1]Accueil'!$C$29</definedName>
    <definedName name="PA">'Compte de résultat'!$B$36</definedName>
    <definedName name="PA1">'Compte de résultat'!$C$36</definedName>
    <definedName name="PA11">'Compte de résultat'!$C$36</definedName>
    <definedName name="PA12">'Compte de résultat'!$D$36</definedName>
    <definedName name="PA13">'Compte de résultat'!$E$36</definedName>
    <definedName name="PB">'Compte de résultat'!$F$36</definedName>
    <definedName name="PB1">'Compte de résultat'!$G$36</definedName>
    <definedName name="PB2">'Compte de résultat'!$H$36</definedName>
    <definedName name="PB3">'Compte de résultat'!$I$36</definedName>
    <definedName name="PC">'Compte de résultat'!$J$36</definedName>
    <definedName name="PC1">'Compte de résultat'!$K$36</definedName>
    <definedName name="PC2">'Compte de résultat'!$L$36</definedName>
    <definedName name="PC3">'Compte de résultat'!$M$36</definedName>
    <definedName name="TAUX">'Emprunt'!$E$8</definedName>
    <definedName name="TAUX1">'Emprunt'!$E$76</definedName>
    <definedName name="TAUX2">'Emprunt'!$E$139</definedName>
  </definedNames>
  <calcPr fullCalcOnLoad="1"/>
</workbook>
</file>

<file path=xl/comments1.xml><?xml version="1.0" encoding="utf-8"?>
<comments xmlns="http://schemas.openxmlformats.org/spreadsheetml/2006/main">
  <authors>
    <author/>
  </authors>
  <commentList>
    <comment ref="B20" authorId="0">
      <text>
        <r>
          <rPr>
            <b/>
            <sz val="8"/>
            <color indexed="8"/>
            <rFont val="Times New Roman"/>
            <family val="1"/>
          </rPr>
          <t xml:space="preserve">Il s'agit ici d'une approche de la trésorerie. Il faudra sûrement retravailler ce document en fonction des hypothèses réelles de développement
</t>
        </r>
      </text>
    </comment>
    <comment ref="A34" authorId="0">
      <text>
        <r>
          <rPr>
            <b/>
            <sz val="8"/>
            <color indexed="8"/>
            <rFont val="Times New Roman"/>
            <family val="1"/>
          </rPr>
          <t>La marquage rouge indique la présence d'un commentaire.</t>
        </r>
      </text>
    </comment>
  </commentList>
</comments>
</file>

<file path=xl/comments2.xml><?xml version="1.0" encoding="utf-8"?>
<comments xmlns="http://schemas.openxmlformats.org/spreadsheetml/2006/main">
  <authors>
    <author/>
  </authors>
  <commentList>
    <comment ref="B13" authorId="0">
      <text>
        <r>
          <rPr>
            <b/>
            <sz val="8"/>
            <color indexed="8"/>
            <rFont val="Times New Roman"/>
            <family val="1"/>
          </rPr>
          <t xml:space="preserve">Additionner les valeurs immobilisées nettes d'amortissement
</t>
        </r>
      </text>
    </comment>
    <comment ref="E14" authorId="0">
      <text>
        <r>
          <rPr>
            <b/>
            <sz val="8"/>
            <color indexed="8"/>
            <rFont val="Times New Roman"/>
            <family val="1"/>
          </rPr>
          <t>Dettes bancaires à plus d'un an et compte courant d'associé bloqué</t>
        </r>
      </text>
    </comment>
    <comment ref="B15" authorId="0">
      <text>
        <r>
          <rPr>
            <b/>
            <sz val="8"/>
            <color indexed="8"/>
            <rFont val="Times New Roman"/>
            <family val="1"/>
          </rPr>
          <t xml:space="preserve">Additionner les créances clients et assimilées
</t>
        </r>
      </text>
    </comment>
    <comment ref="E15" authorId="0">
      <text>
        <r>
          <rPr>
            <b/>
            <sz val="8"/>
            <color indexed="8"/>
            <rFont val="Times New Roman"/>
            <family val="1"/>
          </rPr>
          <t>Additionner toutes les dettes de l'entreprise à court terme " moins d'1 an" quelque soit leur origine (Banque comprise)</t>
        </r>
      </text>
    </comment>
    <comment ref="E16" authorId="0">
      <text>
        <r>
          <rPr>
            <b/>
            <sz val="8"/>
            <color indexed="8"/>
            <rFont val="Times New Roman"/>
            <family val="1"/>
          </rPr>
          <t>Solde bancaire créditeur (découvert bancaire)</t>
        </r>
      </text>
    </comment>
  </commentList>
</comments>
</file>

<file path=xl/comments3.xml><?xml version="1.0" encoding="utf-8"?>
<comments xmlns="http://schemas.openxmlformats.org/spreadsheetml/2006/main">
  <authors>
    <author/>
  </authors>
  <commentList>
    <comment ref="B6" authorId="0">
      <text>
        <r>
          <rPr>
            <b/>
            <sz val="8"/>
            <color indexed="8"/>
            <rFont val="Times New Roman"/>
            <family val="1"/>
          </rPr>
          <t xml:space="preserve">La colonne "AUS/EI/Autres" synthétise l'ensemble des activités de l'entreprise.
</t>
        </r>
      </text>
    </comment>
    <comment ref="C7" authorId="0">
      <text>
        <r>
          <rPr>
            <b/>
            <sz val="8"/>
            <color indexed="8"/>
            <rFont val="Times New Roman"/>
            <family val="1"/>
          </rPr>
          <t xml:space="preserve">AUS : Association d'Utilité Sociale. Les activités de l'AUS ne sont pas inscrites sur le secteur marcand. Elles ne sont donc pas assujetties à la TVA (on enregistrera donc les sommes TTC) et à l'IS. Néanmoins, 30% maximum de l'activité de l'AUS peut être réalisée sur le secteur concurrentiel. 
</t>
        </r>
      </text>
    </comment>
    <comment ref="D7" authorId="0">
      <text>
        <r>
          <rPr>
            <b/>
            <sz val="8"/>
            <color indexed="8"/>
            <rFont val="Times New Roman"/>
            <family val="1"/>
          </rPr>
          <t xml:space="preserve">EI : Entreprise d'Insertion. Les activités de l'EI sont inscrites sur le secteur marchand. Elles sont donc assujetties à la TVA et à l'IS.
</t>
        </r>
      </text>
    </comment>
    <comment ref="E7" authorId="0">
      <text>
        <r>
          <rPr>
            <b/>
            <sz val="8"/>
            <color indexed="8"/>
            <rFont val="Times New Roman"/>
            <family val="1"/>
          </rPr>
          <t>La rubrique "Autres" reprend l'ensemble des activités non comptabilisées en AUS et EI. Elles correspondent à des activités inscrites sur le secteur marchand, comme par exemple des prestations intellectuelles (consulting).</t>
        </r>
        <r>
          <rPr>
            <sz val="8"/>
            <color indexed="8"/>
            <rFont val="Times New Roman"/>
            <family val="1"/>
          </rPr>
          <t xml:space="preserve">   
</t>
        </r>
      </text>
    </comment>
    <comment ref="A9" authorId="0">
      <text>
        <r>
          <rPr>
            <b/>
            <sz val="8"/>
            <color indexed="8"/>
            <rFont val="Times New Roman"/>
            <family val="1"/>
          </rPr>
          <t xml:space="preserve">Montant des affaires réalisées par l'entreprise avec les tiers dans l'excercice de ses activités. C'est le principal indicateur d'activité de l'entreprise. Le chiffre d'affaires s'entend Hors Taxes. Pour ce qui concerne les activités non assujetties à la TVA (activités relevant de l'AUS) on enregistrera les sommes toutes taxes comprises (TTC).
</t>
        </r>
      </text>
    </comment>
    <comment ref="A36" authorId="0">
      <text>
        <r>
          <rPr>
            <b/>
            <sz val="8"/>
            <color indexed="8"/>
            <rFont val="Times New Roman"/>
            <family val="1"/>
          </rPr>
          <t xml:space="preserve"> Le total des produits correspond à la somme : des chiffres d'affaires, des subventions liées au projet d'insertion (Aides aux postes), des subventions de fonctionnement et le montant des adhésions.     
</t>
        </r>
      </text>
    </comment>
    <comment ref="A43" authorId="0">
      <text>
        <r>
          <rPr>
            <b/>
            <sz val="8"/>
            <color indexed="8"/>
            <rFont val="Times New Roman"/>
            <family val="1"/>
          </rPr>
          <t xml:space="preserve"> La marge brute concerne uniquement les entreprises commerciales ou ayant une activité commerciale. Elle mesure les ressources d'exploitation de l'entreprise. C'est un indicateur permettant de suivre l'évolution d'une politique commerciale. Elle s'exprime souvent en pourcentage du chiffre d'affaires. 
</t>
        </r>
      </text>
    </comment>
    <comment ref="A65" authorId="0">
      <text>
        <r>
          <rPr>
            <b/>
            <sz val="8"/>
            <color indexed="8"/>
            <rFont val="Times New Roman"/>
            <family val="1"/>
          </rPr>
          <t xml:space="preserve">Elle évalue la dimension économique de l'entreprise. Elle détermine la richesse crée et constituée par le travail du personnel et par l'entreprise elle-même.  
</t>
        </r>
      </text>
    </comment>
    <comment ref="A87" authorId="0">
      <text>
        <r>
          <rPr>
            <b/>
            <sz val="8"/>
            <color indexed="8"/>
            <rFont val="Times New Roman"/>
            <family val="1"/>
          </rPr>
          <t xml:space="preserve">Il mesure l'éfficacité économique des investissements. Ce résultat n'est influencé ni par les systèmes d'amortissements choisis, ni par la situation financière de l'entreprise. 
</t>
        </r>
      </text>
    </comment>
    <comment ref="A91" authorId="0">
      <text>
        <r>
          <rPr>
            <b/>
            <sz val="8"/>
            <color indexed="8"/>
            <rFont val="Times New Roman"/>
            <family val="1"/>
          </rPr>
          <t xml:space="preserve">Il évalue la rentabilité économique de l'entreprise.
</t>
        </r>
      </text>
    </comment>
    <comment ref="A98" authorId="0">
      <text>
        <r>
          <rPr>
            <b/>
            <sz val="8"/>
            <color indexed="8"/>
            <rFont val="Times New Roman"/>
            <family val="1"/>
          </rPr>
          <t xml:space="preserve">Il mesure la rentabilité de l'entreprise en incluant sa situation financière.
</t>
        </r>
      </text>
    </comment>
    <comment ref="A102" authorId="0">
      <text>
        <r>
          <rPr>
            <b/>
            <sz val="8"/>
            <color indexed="8"/>
            <rFont val="Times New Roman"/>
            <family val="1"/>
          </rPr>
          <t xml:space="preserve">Il indique ce qui reste à la disposition de l'entreprise après paiement de l'Impôt sur les sociétés.
</t>
        </r>
      </text>
    </comment>
  </commentList>
</comments>
</file>

<file path=xl/comments4.xml><?xml version="1.0" encoding="utf-8"?>
<comments xmlns="http://schemas.openxmlformats.org/spreadsheetml/2006/main">
  <authors>
    <author/>
  </authors>
  <commentList>
    <comment ref="C4" authorId="0">
      <text>
        <r>
          <rPr>
            <b/>
            <sz val="8"/>
            <color indexed="8"/>
            <rFont val="Times New Roman"/>
            <family val="1"/>
          </rPr>
          <t xml:space="preserve">AUS : Association d'Utilité Sociale. Les activités de l'AUS ne sont pas inscrites sur le secteur marcand. Elles ne sont donc pas assujetties à la TVA (on enreistrera donc les sommes TTC) et à l'IS. Néanmoins, 30 maximum de l'activité de l'AUS peut être      réalisée sur le secteur concurrentiel. 
</t>
        </r>
      </text>
    </comment>
    <comment ref="D4" authorId="0">
      <text>
        <r>
          <rPr>
            <b/>
            <sz val="8"/>
            <color indexed="8"/>
            <rFont val="Times New Roman"/>
            <family val="1"/>
          </rPr>
          <t xml:space="preserve">EI : Entreprise d'Insertion. Les activités de l'Ei sont inscrites sur le secteur marcand. Elles sont donc assujetties à la TVA et à l'IS.
</t>
        </r>
      </text>
    </comment>
    <comment ref="E4" authorId="0">
      <text>
        <r>
          <rPr>
            <b/>
            <sz val="8"/>
            <color indexed="8"/>
            <rFont val="Times New Roman"/>
            <family val="1"/>
          </rPr>
          <t>La rubrique "Autres" reprend l'ensemble des activités non comptabilisés en AUS et EI. Elles correspondent à des activités inscrites sur le secteur marcand, comme par exemple des prestations intellectuelles (consultin).</t>
        </r>
        <r>
          <rPr>
            <sz val="8"/>
            <color indexed="8"/>
            <rFont val="Times New Roman"/>
            <family val="1"/>
          </rPr>
          <t xml:space="preserve">   
</t>
        </r>
      </text>
    </comment>
    <comment ref="G4" authorId="0">
      <text>
        <r>
          <rPr>
            <b/>
            <sz val="8"/>
            <color indexed="8"/>
            <rFont val="Times New Roman"/>
            <family val="1"/>
          </rPr>
          <t xml:space="preserve">AUS : Association d'Utilité Sociale. Les activités de l'AUS ne sont pas inscrites sur le secteur marcand. Elles ne sont donc pas assujetties à la TVA (on enreistrera donc les sommes TTC) et à l'IS. Néanmoins, 30 maximum de l'activité de l'AUS peut être      réalisée sur le secteur concurrentiel. 
</t>
        </r>
      </text>
    </comment>
    <comment ref="H4" authorId="0">
      <text>
        <r>
          <rPr>
            <b/>
            <sz val="8"/>
            <color indexed="8"/>
            <rFont val="Times New Roman"/>
            <family val="1"/>
          </rPr>
          <t xml:space="preserve">EI : Entreprise d'Insertion. Les activités de l'Ei sont inscrites sur le secteur marcand. Elles sont donc assujetties à la TVA et à l'IS.
</t>
        </r>
      </text>
    </comment>
    <comment ref="I4" authorId="0">
      <text>
        <r>
          <rPr>
            <b/>
            <sz val="8"/>
            <color indexed="8"/>
            <rFont val="Times New Roman"/>
            <family val="1"/>
          </rPr>
          <t>La rubrique "Autres" reprend l'ensemble des activités non comptabilisés en AUS et EI. Elles correspondent à des activités inscrites sur le secteur marcand, comme par exemple des prestations intellectuelles (consultin).</t>
        </r>
        <r>
          <rPr>
            <sz val="8"/>
            <color indexed="8"/>
            <rFont val="Times New Roman"/>
            <family val="1"/>
          </rPr>
          <t xml:space="preserve">   
</t>
        </r>
      </text>
    </comment>
    <comment ref="K4" authorId="0">
      <text>
        <r>
          <rPr>
            <b/>
            <sz val="8"/>
            <color indexed="8"/>
            <rFont val="Times New Roman"/>
            <family val="1"/>
          </rPr>
          <t xml:space="preserve">AUS : Association d'Utilité Sociale. Les activités de l'AUS ne sont pas inscrites sur le secteur marcand. Elles ne sont donc pas assujetties à la TVA (on enreistrera donc les sommes TTC) et à l'IS. Néanmoins, 30 maximum de l'activité de l'AUS peut être      réalisée sur le secteur concurrentiel. 
</t>
        </r>
      </text>
    </comment>
    <comment ref="L4" authorId="0">
      <text>
        <r>
          <rPr>
            <b/>
            <sz val="8"/>
            <color indexed="8"/>
            <rFont val="Times New Roman"/>
            <family val="1"/>
          </rPr>
          <t xml:space="preserve">EI : Entreprise d'Insertion. Les activités de l'Ei sont inscrites sur le secteur marcand. Elles sont donc assujetties à la TVA et à l'IS.
</t>
        </r>
      </text>
    </comment>
    <comment ref="M4" authorId="0">
      <text>
        <r>
          <rPr>
            <b/>
            <sz val="8"/>
            <color indexed="8"/>
            <rFont val="Times New Roman"/>
            <family val="1"/>
          </rPr>
          <t>La rubrique "Autres" reprend l'ensemble des activités non comptabilisés en AUS et EI. Elles correspondent à des activités inscrites sur le secteur marcand, comme par exemple des prestations intellectuelles (consultin).</t>
        </r>
        <r>
          <rPr>
            <sz val="8"/>
            <color indexed="8"/>
            <rFont val="Times New Roman"/>
            <family val="1"/>
          </rPr>
          <t xml:space="preserve">   
</t>
        </r>
      </text>
    </comment>
  </commentList>
</comments>
</file>

<file path=xl/comments5.xml><?xml version="1.0" encoding="utf-8"?>
<comments xmlns="http://schemas.openxmlformats.org/spreadsheetml/2006/main">
  <authors>
    <author/>
  </authors>
  <commentList>
    <comment ref="B6" authorId="0">
      <text>
        <r>
          <rPr>
            <b/>
            <sz val="8"/>
            <color indexed="8"/>
            <rFont val="Times New Roman"/>
            <family val="1"/>
          </rPr>
          <t xml:space="preserve">
- Indiquer la durée du 1er exercice en nombre de mois
</t>
        </r>
      </text>
    </comment>
    <comment ref="E7" authorId="0">
      <text>
        <r>
          <rPr>
            <b/>
            <sz val="8"/>
            <color indexed="8"/>
            <rFont val="Times New Roman"/>
            <family val="1"/>
          </rPr>
          <t>L'unité de mesure étant le SMIC, il vous est proposé d'affecter au brut mensuel un coefficient multiplicateur vous permettant d'approximer le salaire brut effectivement versé à vos différents collaborateurs. Par exemple : vous souhaitez verser un salaire equivalent à 2 SMIC, vous enregistrerez le chiffre 2 dans la colonne "Coefficient" et à la ligne du collaborateur en question.</t>
        </r>
      </text>
    </comment>
    <comment ref="B9" authorId="0">
      <text>
        <r>
          <rPr>
            <b/>
            <sz val="8"/>
            <color indexed="8"/>
            <rFont val="Times New Roman"/>
            <family val="1"/>
          </rPr>
          <t xml:space="preserve">
- Indiquer le nombre de contrat CES
</t>
        </r>
      </text>
    </comment>
    <comment ref="C9" authorId="0">
      <text>
        <r>
          <rPr>
            <b/>
            <sz val="8"/>
            <color indexed="8"/>
            <rFont val="Times New Roman"/>
            <family val="1"/>
          </rPr>
          <t xml:space="preserve">
- Indiquer le nombre de mois de présence de contrat CES
</t>
        </r>
      </text>
    </comment>
    <comment ref="B10" authorId="0">
      <text>
        <r>
          <rPr>
            <b/>
            <sz val="8"/>
            <color indexed="8"/>
            <rFont val="Times New Roman"/>
            <family val="1"/>
          </rPr>
          <t xml:space="preserve">
- Nombre de contrat CDDI 
</t>
        </r>
      </text>
    </comment>
    <comment ref="C10" authorId="0">
      <text>
        <r>
          <rPr>
            <b/>
            <sz val="8"/>
            <color indexed="8"/>
            <rFont val="Times New Roman"/>
            <family val="1"/>
          </rPr>
          <t xml:space="preserve">
- Indiquer le nombre de mois de présence de contrat CDDI
</t>
        </r>
      </text>
    </comment>
    <comment ref="B11" authorId="0">
      <text>
        <r>
          <rPr>
            <b/>
            <sz val="8"/>
            <color indexed="8"/>
            <rFont val="Times New Roman"/>
            <family val="1"/>
          </rPr>
          <t xml:space="preserve">
- Indiquer le nombre de contrats CDI</t>
        </r>
      </text>
    </comment>
    <comment ref="C11" authorId="0">
      <text>
        <r>
          <rPr>
            <b/>
            <sz val="8"/>
            <color indexed="8"/>
            <rFont val="Times New Roman"/>
            <family val="1"/>
          </rPr>
          <t xml:space="preserve">
- Indiquer le nombre de mois de présence de contrat CDI</t>
        </r>
      </text>
    </comment>
    <comment ref="A12" authorId="0">
      <text>
        <r>
          <rPr>
            <b/>
            <sz val="8"/>
            <color indexed="8"/>
            <rFont val="Times New Roman"/>
            <family val="1"/>
          </rPr>
          <t xml:space="preserve">
- Le contrat de référence est un CDI au SMIC sans aides au poste et sans exonérations particulières. Exemple : si un seul poste en CDI est crée et que le montant de la rémunération équivaut à 2 SMIC, vous enregistrerez dans la cellule B11 le chiffre : 2.</t>
        </r>
      </text>
    </comment>
    <comment ref="A24" authorId="0">
      <text>
        <r>
          <rPr>
            <b/>
            <sz val="8"/>
            <color indexed="8"/>
            <rFont val="Times New Roman"/>
            <family val="1"/>
          </rPr>
          <t xml:space="preserve">
Contrats CES établis au cours du 1er excercice et renouvelés lors du second excercice
</t>
        </r>
      </text>
    </comment>
    <comment ref="B24" authorId="0">
      <text>
        <r>
          <rPr>
            <sz val="8"/>
            <color indexed="8"/>
            <rFont val="Times New Roman"/>
            <family val="1"/>
          </rPr>
          <t xml:space="preserve"> 
</t>
        </r>
        <r>
          <rPr>
            <b/>
            <sz val="8"/>
            <color indexed="8"/>
            <rFont val="Times New Roman"/>
            <family val="1"/>
          </rPr>
          <t xml:space="preserve">- Indiquer le nombre de mois de présence de contrat CES
</t>
        </r>
      </text>
    </comment>
    <comment ref="C24" authorId="0">
      <text>
        <r>
          <rPr>
            <b/>
            <sz val="8"/>
            <color indexed="8"/>
            <rFont val="Times New Roman"/>
            <family val="1"/>
          </rPr>
          <t xml:space="preserve">
- Indiquer le nombre de mois de présence de contrat CES
</t>
        </r>
      </text>
    </comment>
    <comment ref="B25" authorId="0">
      <text>
        <r>
          <rPr>
            <b/>
            <sz val="8"/>
            <color indexed="8"/>
            <rFont val="Times New Roman"/>
            <family val="1"/>
          </rPr>
          <t xml:space="preserve">
- Indiquer le nombre de contrat CES
</t>
        </r>
      </text>
    </comment>
    <comment ref="C25" authorId="0">
      <text>
        <r>
          <rPr>
            <sz val="8"/>
            <color indexed="8"/>
            <rFont val="Times New Roman"/>
            <family val="1"/>
          </rPr>
          <t xml:space="preserve"> 
</t>
        </r>
        <r>
          <rPr>
            <b/>
            <sz val="8"/>
            <color indexed="8"/>
            <rFont val="Times New Roman"/>
            <family val="1"/>
          </rPr>
          <t xml:space="preserve">- Indiquer le nombre de mois de présence de contrat CES
</t>
        </r>
      </text>
    </comment>
    <comment ref="A26" authorId="0">
      <text>
        <r>
          <rPr>
            <b/>
            <sz val="8"/>
            <color indexed="8"/>
            <rFont val="Times New Roman"/>
            <family val="1"/>
          </rPr>
          <t xml:space="preserve">
Nombre de contrat CDDI 1er et 2ème excercice
</t>
        </r>
      </text>
    </comment>
    <comment ref="B26" authorId="0">
      <text>
        <r>
          <rPr>
            <b/>
            <sz val="8"/>
            <color indexed="8"/>
            <rFont val="Times New Roman"/>
            <family val="1"/>
          </rPr>
          <t xml:space="preserve"> 
- Indiquer le nombre de contrat CDDI
</t>
        </r>
      </text>
    </comment>
    <comment ref="C26" authorId="0">
      <text>
        <r>
          <rPr>
            <sz val="8"/>
            <color indexed="8"/>
            <rFont val="Times New Roman"/>
            <family val="1"/>
          </rPr>
          <t xml:space="preserve"> 
</t>
        </r>
        <r>
          <rPr>
            <b/>
            <sz val="8"/>
            <color indexed="8"/>
            <rFont val="Times New Roman"/>
            <family val="1"/>
          </rPr>
          <t xml:space="preserve">- Indiquer le nombre de mois de présence de contrat CDDI
</t>
        </r>
      </text>
    </comment>
    <comment ref="B27" authorId="0">
      <text>
        <r>
          <rPr>
            <b/>
            <sz val="8"/>
            <color indexed="8"/>
            <rFont val="Times New Roman"/>
            <family val="1"/>
          </rPr>
          <t xml:space="preserve">
- Indiquer le nombre de CDI</t>
        </r>
      </text>
    </comment>
    <comment ref="C27" authorId="0">
      <text>
        <r>
          <rPr>
            <b/>
            <sz val="8"/>
            <color indexed="8"/>
            <rFont val="Times New Roman"/>
            <family val="1"/>
          </rPr>
          <t xml:space="preserve">
- Indiquer le nombre de mois de présence de CDI</t>
        </r>
      </text>
    </comment>
    <comment ref="A40" authorId="0">
      <text>
        <r>
          <rPr>
            <b/>
            <sz val="8"/>
            <color indexed="8"/>
            <rFont val="Times New Roman"/>
            <family val="1"/>
          </rPr>
          <t xml:space="preserve">
Contrats CES établis lors du second excercice et renouvelés lors du 3ème excercice</t>
        </r>
      </text>
    </comment>
    <comment ref="B40" authorId="0">
      <text>
        <r>
          <rPr>
            <b/>
            <sz val="8"/>
            <color indexed="8"/>
            <rFont val="Times New Roman"/>
            <family val="1"/>
          </rPr>
          <t xml:space="preserve">
- Indiquer le nombre de contrat CES
</t>
        </r>
      </text>
    </comment>
    <comment ref="C40" authorId="0">
      <text>
        <r>
          <rPr>
            <b/>
            <sz val="8"/>
            <color indexed="8"/>
            <rFont val="Times New Roman"/>
            <family val="1"/>
          </rPr>
          <t xml:space="preserve">
- Indiquer le nombre de mois de présence de contrat CES
</t>
        </r>
      </text>
    </comment>
    <comment ref="B41" authorId="0">
      <text>
        <r>
          <rPr>
            <b/>
            <sz val="8"/>
            <color indexed="8"/>
            <rFont val="Times New Roman"/>
            <family val="1"/>
          </rPr>
          <t xml:space="preserve">
- Indiquer le nombre de contrat CES
</t>
        </r>
      </text>
    </comment>
    <comment ref="C41" authorId="0">
      <text>
        <r>
          <rPr>
            <b/>
            <sz val="8"/>
            <color indexed="8"/>
            <rFont val="Times New Roman"/>
            <family val="1"/>
          </rPr>
          <t xml:space="preserve">
- Indiquer le nombre de mois de présence de contrat CES
</t>
        </r>
      </text>
    </comment>
    <comment ref="A42" authorId="0">
      <text>
        <r>
          <rPr>
            <b/>
            <sz val="8"/>
            <color indexed="8"/>
            <rFont val="Times New Roman"/>
            <family val="1"/>
          </rPr>
          <t xml:space="preserve">
Nombre de contrat CDDI 2ème et 3ème excercice
</t>
        </r>
      </text>
    </comment>
    <comment ref="B42" authorId="0">
      <text>
        <r>
          <rPr>
            <b/>
            <sz val="8"/>
            <color indexed="8"/>
            <rFont val="Times New Roman"/>
            <family val="1"/>
          </rPr>
          <t xml:space="preserve">
- Indiquer le nombre de contrat CDDI</t>
        </r>
      </text>
    </comment>
    <comment ref="C42" authorId="0">
      <text>
        <r>
          <rPr>
            <b/>
            <sz val="8"/>
            <color indexed="8"/>
            <rFont val="Times New Roman"/>
            <family val="1"/>
          </rPr>
          <t xml:space="preserve">
- Indiquer le nombre de mois de présence de contrat CDDI
</t>
        </r>
      </text>
    </comment>
  </commentList>
</comments>
</file>

<file path=xl/comments6.xml><?xml version="1.0" encoding="utf-8"?>
<comments xmlns="http://schemas.openxmlformats.org/spreadsheetml/2006/main">
  <authors>
    <author/>
  </authors>
  <commentList>
    <comment ref="A6" authorId="0">
      <text>
        <r>
          <rPr>
            <sz val="8"/>
            <color indexed="8"/>
            <rFont val="Times New Roman"/>
            <family val="1"/>
          </rPr>
          <t xml:space="preserve">Débloqué en une seule fois au début de l'exercice
</t>
        </r>
      </text>
    </comment>
    <comment ref="A7" authorId="0">
      <text>
        <r>
          <rPr>
            <b/>
            <sz val="8"/>
            <color indexed="8"/>
            <rFont val="Times New Roman"/>
            <family val="1"/>
          </rPr>
          <t xml:space="preserve">Débloqué en une seule fois au début de l'exercice
</t>
        </r>
      </text>
    </comment>
    <comment ref="A8" authorId="0">
      <text>
        <r>
          <rPr>
            <b/>
            <sz val="8"/>
            <color indexed="8"/>
            <rFont val="Times New Roman"/>
            <family val="1"/>
          </rPr>
          <t xml:space="preserve">Idem
</t>
        </r>
      </text>
    </comment>
    <comment ref="A13" authorId="0">
      <text>
        <r>
          <rPr>
            <b/>
            <sz val="8"/>
            <color indexed="8"/>
            <rFont val="Times New Roman"/>
            <family val="1"/>
          </rPr>
          <t xml:space="preserve">Le plan de financement nécessite le déblocage des fonds au début de l'exercice
</t>
        </r>
      </text>
    </comment>
    <comment ref="A14" authorId="0">
      <text>
        <r>
          <rPr>
            <b/>
            <sz val="8"/>
            <color indexed="8"/>
            <rFont val="Times New Roman"/>
            <family val="1"/>
          </rPr>
          <t xml:space="preserve">Voir au dessus
</t>
        </r>
      </text>
    </comment>
    <comment ref="A15" authorId="0">
      <text>
        <r>
          <rPr>
            <b/>
            <sz val="8"/>
            <color indexed="8"/>
            <rFont val="Times New Roman"/>
            <family val="1"/>
          </rPr>
          <t xml:space="preserve">Idem
</t>
        </r>
      </text>
    </comment>
    <comment ref="A18" authorId="0">
      <text>
        <r>
          <rPr>
            <b/>
            <sz val="8"/>
            <color indexed="8"/>
            <rFont val="Times New Roman"/>
            <family val="1"/>
          </rPr>
          <t xml:space="preserve">Hypothèse : Règlement tous les deux mois
</t>
        </r>
      </text>
    </comment>
    <comment ref="A19" authorId="0">
      <text>
        <r>
          <rPr>
            <b/>
            <sz val="8"/>
            <color indexed="8"/>
            <rFont val="Times New Roman"/>
            <family val="1"/>
          </rPr>
          <t xml:space="preserve">Idem
</t>
        </r>
      </text>
    </comment>
    <comment ref="A20" authorId="0">
      <text>
        <r>
          <rPr>
            <b/>
            <sz val="8"/>
            <color indexed="8"/>
            <rFont val="Times New Roman"/>
            <family val="1"/>
          </rPr>
          <t xml:space="preserve">Les particuliers règlent au comptant
</t>
        </r>
      </text>
    </comment>
    <comment ref="A21" authorId="0">
      <text>
        <r>
          <rPr>
            <b/>
            <sz val="8"/>
            <color indexed="8"/>
            <rFont val="Times New Roman"/>
            <family val="1"/>
          </rPr>
          <t xml:space="preserve">Règlement tous les deux mois
</t>
        </r>
      </text>
    </comment>
    <comment ref="A22" authorId="0">
      <text>
        <r>
          <rPr>
            <b/>
            <sz val="8"/>
            <color indexed="8"/>
            <rFont val="Times New Roman"/>
            <family val="1"/>
          </rPr>
          <t xml:space="preserve">Règlement trimestriel échu
</t>
        </r>
      </text>
    </comment>
    <comment ref="A23" authorId="0">
      <text>
        <r>
          <rPr>
            <b/>
            <sz val="8"/>
            <color indexed="8"/>
            <rFont val="Times New Roman"/>
            <family val="1"/>
          </rPr>
          <t xml:space="preserve">Idem
</t>
        </r>
      </text>
    </comment>
    <comment ref="A24" authorId="0">
      <text>
        <r>
          <rPr>
            <b/>
            <sz val="8"/>
            <color indexed="8"/>
            <rFont val="Times New Roman"/>
            <family val="1"/>
          </rPr>
          <t>Règlement mensuel</t>
        </r>
      </text>
    </comment>
    <comment ref="A29" authorId="0">
      <text>
        <r>
          <rPr>
            <b/>
            <sz val="8"/>
            <color indexed="8"/>
            <rFont val="Times New Roman"/>
            <family val="1"/>
          </rPr>
          <t>Par hypothèse : les investissements sont réalisés au début de l'exercice</t>
        </r>
      </text>
    </comment>
    <comment ref="A30" authorId="0">
      <text>
        <r>
          <rPr>
            <b/>
            <sz val="8"/>
            <color indexed="8"/>
            <rFont val="Times New Roman"/>
            <family val="1"/>
          </rPr>
          <t xml:space="preserve">Idem
</t>
        </r>
      </text>
    </comment>
    <comment ref="A31" authorId="0">
      <text>
        <r>
          <rPr>
            <b/>
            <sz val="8"/>
            <color indexed="8"/>
            <rFont val="Times New Roman"/>
            <family val="1"/>
          </rPr>
          <t xml:space="preserve">Idem
</t>
        </r>
      </text>
    </comment>
    <comment ref="A33" authorId="0">
      <text>
        <r>
          <rPr>
            <b/>
            <sz val="8"/>
            <color indexed="8"/>
            <rFont val="Times New Roman"/>
            <family val="1"/>
          </rPr>
          <t xml:space="preserve">Règlement par 1/12 </t>
        </r>
      </text>
    </comment>
    <comment ref="A37" authorId="0">
      <text>
        <r>
          <rPr>
            <b/>
            <sz val="8"/>
            <color indexed="8"/>
            <rFont val="Times New Roman"/>
            <family val="1"/>
          </rPr>
          <t xml:space="preserve">Règlement par 1/6
</t>
        </r>
      </text>
    </comment>
    <comment ref="A43" authorId="0">
      <text>
        <r>
          <rPr>
            <b/>
            <sz val="8"/>
            <color indexed="8"/>
            <rFont val="Times New Roman"/>
            <family val="1"/>
          </rPr>
          <t xml:space="preserve">Règlement annuel
</t>
        </r>
      </text>
    </comment>
    <comment ref="A46" authorId="0">
      <text>
        <r>
          <rPr>
            <b/>
            <sz val="8"/>
            <color indexed="8"/>
            <rFont val="Times New Roman"/>
            <family val="1"/>
          </rPr>
          <t xml:space="preserve">Engagement par 1/2
</t>
        </r>
      </text>
    </comment>
    <comment ref="A47" authorId="0">
      <text>
        <r>
          <rPr>
            <b/>
            <sz val="8"/>
            <color indexed="8"/>
            <rFont val="Times New Roman"/>
            <family val="1"/>
          </rPr>
          <t>Engagement de la dépense annuelle en une seule fois</t>
        </r>
      </text>
    </comment>
    <comment ref="A48" authorId="0">
      <text>
        <r>
          <rPr>
            <b/>
            <sz val="8"/>
            <color indexed="8"/>
            <rFont val="Times New Roman"/>
            <family val="1"/>
          </rPr>
          <t xml:space="preserve">Idem
</t>
        </r>
      </text>
    </comment>
    <comment ref="A52" authorId="0">
      <text>
        <r>
          <rPr>
            <b/>
            <sz val="8"/>
            <color indexed="8"/>
            <rFont val="Times New Roman"/>
            <family val="1"/>
          </rPr>
          <t>Il n'a pas été tenu compte de la TVA.
Les taxes sont réglées en fin d'exercice</t>
        </r>
      </text>
    </comment>
  </commentList>
</comments>
</file>

<file path=xl/sharedStrings.xml><?xml version="1.0" encoding="utf-8"?>
<sst xmlns="http://schemas.openxmlformats.org/spreadsheetml/2006/main" count="434" uniqueCount="273">
  <si>
    <t xml:space="preserve">                 </t>
  </si>
  <si>
    <t>NOTICE EXPLICATIVE</t>
  </si>
  <si>
    <t xml:space="preserve">Avant propos </t>
  </si>
  <si>
    <t xml:space="preserve">Afin de renseigner ce document Excel, le porteur de projet doit maîtriser les grandes lignes de son projet. Il doit pouvoir évaluer les chiffres d'affaires prévisionnels qu'il espère réaliser et les aides qu'il entend solliciter. </t>
  </si>
  <si>
    <t>Il sera en suite en mesure d'appréhender l'évolution des charges variables et des charges fixes et leur ventilation par secteur d'activité afin de mener une réflexion analytique sur chacun d'entre eux.</t>
  </si>
  <si>
    <t>Sur la base des hypothèses de chiffre d'affaires, le porteur de projet dimensionnera son "organisation productive" : outils de production (plan de financement) et équipes salariées (compte de résultat). Il veillera notamment à rechercher la combinaison la plus efficiente entre le "facteur capital" et le "facteur travail".</t>
  </si>
  <si>
    <t>Compsition du classeur Excel</t>
  </si>
  <si>
    <t xml:space="preserve">Le document est composé de 6 feuilles reliées par des "macro". Le tout constitue un "classeur". Les "macro" organisent les inter-relations entre les différentes feuilles de calcul. Elles ont été crées afin de faciliter votre démarche. Elles tiennent compte des règles qui régissent la comptabilité et reposent pour certaines sur des hypothèses arbitraires que nous avons pris. </t>
  </si>
  <si>
    <t>1ère feuille : Compte de résultat</t>
  </si>
  <si>
    <t>2ème feuille : Plan de financement</t>
  </si>
  <si>
    <t>3ème feuille : Salaires</t>
  </si>
  <si>
    <t>4ème feuille : Trésorerie</t>
  </si>
  <si>
    <t>5ème feuille : Emprunt</t>
  </si>
  <si>
    <t>6ème feuille : Dotations aux amortissements</t>
  </si>
  <si>
    <t>Comment renseigner le document Excel ?</t>
  </si>
  <si>
    <t xml:space="preserve">Certaines cellules sont à renseigner d'autres sont pré-calculées. Afin de vous aider à les distinguer un jeu de couleurs est utilisé : les cellules marquées par la couleur jaune sont à renseigner, les cellules blanches sont pré-calculées et les cellules grisées ne sont pas à renseigner. </t>
  </si>
  <si>
    <t>A renseigner</t>
  </si>
  <si>
    <t>Pré-calculées</t>
  </si>
  <si>
    <t>A ne pas renseigner</t>
  </si>
  <si>
    <t xml:space="preserve">Pour certaines cellules un "marquage rouge", en haut à droite de la cellule, vous permettra d'obtenir des compléments d'information sur l'objet de la cellule et les modalités pour la renseigner correctement. </t>
  </si>
  <si>
    <t>Par où commencer ?</t>
  </si>
  <si>
    <t>Une série d'allée et venue entre les feuilles de calcul sera nécessaire afin de renseigner correctement l'ensemble du classeur.</t>
  </si>
  <si>
    <t>Il est conseillé de procéder de la manière suivante :</t>
  </si>
  <si>
    <t>1) Renseigner prioritairement la feuille "Compte de résultat" : calcul des chiffres d'affaires et des subventions de fonctionnement puis la masse salariale correspondante au niveau de production. Pour cela, il convient de se reporter à la feuille de calcul "Salaires". Elle vous permettra de calculer les salaires bruts, les aides aux postes et les charges patronales de l'ensemble de vos collaborateurs. Pour les contrats aidés (CES, CEC, CDDI, Emplois-jeunes etc.) vous ne renseignerez que les volumes, les calculs relatifs aux salaires bruts, charges patronales et aides aux postes seront évalués et ventilés au Compte de résultat automatiquement.  Pour ce qui est des postes permanants (Direction, secrétariat, postes d'encadrants techniques et sociaux etc.), l'unité de mesure proposé est le smic. Exemple : le directeur est rémunéré l'équivalent de 3 smic on enregistrera à la ligne Directeur et dans la colonne Bruts mensuel, le chiffre 3. A l'issue de cette première phase il est conseillé de s'ateler à l'évaluation des Charges fixes ou Charges externes. Pour cela, il est nécessaire d'évaluer les charges fixes de l'ensemble de vos activités (AUS, EI, Autres) et de renseigner les lignes correspondantes. Une ventilation automatique par secteur d'activité est prévue sur la base du poids relatif de chacun des secteurs.</t>
  </si>
  <si>
    <t>2) Renseigner la feuille "Plan de financement". Il est à noter que les lignes : Immobilisations financières, Besoin en fonds de roulement (constitution et évolution) et la ligne Remboursement d'emprunt sont calculées automatiquement sur la base du poids relatif de chacun des secteurs.</t>
  </si>
  <si>
    <t>3) Les feuilles de calcul relatives à la Trésorerie, aux Emprunts bancaires sollicités et au calcul des Dotations aux amortissements sont renseignés automatiquement.</t>
  </si>
  <si>
    <t>A partir du bilan de l'année précédente compléter le tableau suivant</t>
  </si>
  <si>
    <t>Actif</t>
  </si>
  <si>
    <t>Passif</t>
  </si>
  <si>
    <t>Valeurs immobilisées nettes</t>
  </si>
  <si>
    <t>Capitaux propres</t>
  </si>
  <si>
    <t>Stocks</t>
  </si>
  <si>
    <t>Emprunt à long et moyen terme</t>
  </si>
  <si>
    <t>Clients et assimilés</t>
  </si>
  <si>
    <t>Fournisseurs et assimilés</t>
  </si>
  <si>
    <t>Banque et caisse</t>
  </si>
  <si>
    <t>Solde Créditeur</t>
  </si>
  <si>
    <t>Fonds de roulement</t>
  </si>
  <si>
    <t>Besoin en fond de roulement</t>
  </si>
  <si>
    <t xml:space="preserve"> </t>
  </si>
  <si>
    <t>1ere Année</t>
  </si>
  <si>
    <t>2e Année</t>
  </si>
  <si>
    <t>3e Année</t>
  </si>
  <si>
    <t>TTC</t>
  </si>
  <si>
    <t>HT</t>
  </si>
  <si>
    <t>Total Année 1</t>
  </si>
  <si>
    <t>AUS 1ère année</t>
  </si>
  <si>
    <t>EI 1ère année</t>
  </si>
  <si>
    <t>Autres</t>
  </si>
  <si>
    <t>Total Année 2</t>
  </si>
  <si>
    <t>AUS 2ème année</t>
  </si>
  <si>
    <t>EI 2ème année</t>
  </si>
  <si>
    <t>Total Année 3</t>
  </si>
  <si>
    <t>AUS 3ème année</t>
  </si>
  <si>
    <t>EI 3ème année</t>
  </si>
  <si>
    <t>CHIFFRE D'AFFAIRES</t>
  </si>
  <si>
    <t>Chiffre d'affaires</t>
  </si>
  <si>
    <t xml:space="preserve">Chiffre d'affaires Collectivités </t>
  </si>
  <si>
    <t>Chiffre d'affaires Entreprises</t>
  </si>
  <si>
    <t>Chiffre d'affaires Particuliers</t>
  </si>
  <si>
    <t>Chiffre d'affaires Autres</t>
  </si>
  <si>
    <t>Subventions liées au projet d'insertion</t>
  </si>
  <si>
    <t>Aides à l'encadrement (Poste de directeur)</t>
  </si>
  <si>
    <t>Aides à l'encadrement (Postes techniques)</t>
  </si>
  <si>
    <t>Aides aux postes d'insertion CES - CNASEA</t>
  </si>
  <si>
    <t xml:space="preserve">Aides aux CDDI </t>
  </si>
  <si>
    <t>Aides aux postes d'insertion CEC - CNASEA</t>
  </si>
  <si>
    <t>Aides aux postes Emplois Jeunes - Adultes Relais</t>
  </si>
  <si>
    <t>Autres (CIE … )</t>
  </si>
  <si>
    <t xml:space="preserve">Aides à la formation des publics </t>
  </si>
  <si>
    <t>Subventions d'équipement des publics en insertion</t>
  </si>
  <si>
    <t>Subventions de fonctionnement</t>
  </si>
  <si>
    <t>Fonds européens</t>
  </si>
  <si>
    <t>Etat</t>
  </si>
  <si>
    <t>Conseil Régional</t>
  </si>
  <si>
    <t>Conseil Général</t>
  </si>
  <si>
    <t>Collectivités et intercommunalités</t>
  </si>
  <si>
    <t>Fondations et Fondations d'entreprise</t>
  </si>
  <si>
    <t>Adhésions</t>
  </si>
  <si>
    <t>TOTAL PRODUITS</t>
  </si>
  <si>
    <t>Consommations intermédiaires</t>
  </si>
  <si>
    <t xml:space="preserve">Matières premières </t>
  </si>
  <si>
    <t>Année 1</t>
  </si>
  <si>
    <t>Marchandises</t>
  </si>
  <si>
    <t>MARGE BRUTE</t>
  </si>
  <si>
    <t>CHARGES EXTERNES</t>
  </si>
  <si>
    <t xml:space="preserve">Année 3 </t>
  </si>
  <si>
    <t xml:space="preserve">Loyers </t>
  </si>
  <si>
    <t xml:space="preserve">Fournitures diverses </t>
  </si>
  <si>
    <t>Transport</t>
  </si>
  <si>
    <t>Fournitures non stockées (eau, gaz, EDF)</t>
  </si>
  <si>
    <t>Fournitures de bureau</t>
  </si>
  <si>
    <t>Fournitures d'entretien</t>
  </si>
  <si>
    <t>Entretien et réparation</t>
  </si>
  <si>
    <t>Expertise comptable + Commissaire aux comptes</t>
  </si>
  <si>
    <t>Honoraires (Conseils)</t>
  </si>
  <si>
    <t>Assurances</t>
  </si>
  <si>
    <t>Déplacement, missions, receptions</t>
  </si>
  <si>
    <t>Frais de téléphone + PTT</t>
  </si>
  <si>
    <t>Documentations + Imprimerie</t>
  </si>
  <si>
    <t>Vêtements professionnels des publics en insertion</t>
  </si>
  <si>
    <t>Vêtements professionnels des encadrants</t>
  </si>
  <si>
    <t>Frais de formation des publics en insertion</t>
  </si>
  <si>
    <t>Frais de formation des publics "encadrants"</t>
  </si>
  <si>
    <t>Divers</t>
  </si>
  <si>
    <t>VALEUR AJOUTÉE</t>
  </si>
  <si>
    <t>IMPÔTS ET TAXES</t>
  </si>
  <si>
    <t>Impôts locaux, vignettes, licence etc.</t>
  </si>
  <si>
    <t>CHARGES DE PERSONNEL</t>
  </si>
  <si>
    <t>Personnels en insertion</t>
  </si>
  <si>
    <t>Rémunérations des personnels en insertion (CES)</t>
  </si>
  <si>
    <t>Rémunérations des personnels en insertion (CDDI)</t>
  </si>
  <si>
    <t>Rémunération des personnels en insertion (CEC)</t>
  </si>
  <si>
    <r>
      <t xml:space="preserve">Rémunération des personnels en insertion </t>
    </r>
    <r>
      <rPr>
        <sz val="8"/>
        <rFont val="Times New Roman"/>
        <family val="1"/>
      </rPr>
      <t>(EJ - Adultes relais)</t>
    </r>
  </si>
  <si>
    <t>Encadrement technique</t>
  </si>
  <si>
    <t>Chefs d'équipes (salaires bruts + cotisations patronales)</t>
  </si>
  <si>
    <t>Direction</t>
  </si>
  <si>
    <t>Directeur (salaires + cotisations patronales)</t>
  </si>
  <si>
    <t>Secrétaire (salaires + cotisations patronales)</t>
  </si>
  <si>
    <t>Médecine du travail + Taxe d'apprentissage + Effort</t>
  </si>
  <si>
    <t>Construction + Formation continue etc.</t>
  </si>
  <si>
    <t>EXCÉDENT BRUT D'EXPLOITATION (EBE)</t>
  </si>
  <si>
    <t>DOTATIONS DE L'EXERCICE</t>
  </si>
  <si>
    <t>Dotations aux amortissements</t>
  </si>
  <si>
    <t>RÉSULTAT D'EXPLOITATION</t>
  </si>
  <si>
    <t>CHARGES FINANCIÈRES</t>
  </si>
  <si>
    <t>Intérêts de l'emprunt  LT</t>
  </si>
  <si>
    <t xml:space="preserve">Services bancaires </t>
  </si>
  <si>
    <t>RÉSULTAT COURANT AVANT IMPÔT</t>
  </si>
  <si>
    <t>Charges exceptionnelles</t>
  </si>
  <si>
    <t xml:space="preserve">Produits exceptionnels </t>
  </si>
  <si>
    <t>Impôt sur les sociétés (0,3436)</t>
  </si>
  <si>
    <t>RÉSULTAT NET</t>
  </si>
  <si>
    <t>CAPACITÉ D'AUTOFINANCEMENT</t>
  </si>
  <si>
    <t>1ére Année</t>
  </si>
  <si>
    <t>Total N</t>
  </si>
  <si>
    <t>Total N+1</t>
  </si>
  <si>
    <t>Total N+3</t>
  </si>
  <si>
    <t>BESOINS</t>
  </si>
  <si>
    <t>Immobilisations Incorporelles</t>
  </si>
  <si>
    <t xml:space="preserve">Frais d'établissement </t>
  </si>
  <si>
    <t>Ouvertures compteurs</t>
  </si>
  <si>
    <r>
      <t xml:space="preserve">Immobilisations Corporelles </t>
    </r>
    <r>
      <rPr>
        <b/>
        <sz val="11"/>
        <rFont val="Times New Roman"/>
        <family val="1"/>
      </rPr>
      <t>1ère Année</t>
    </r>
  </si>
  <si>
    <t>Année 2</t>
  </si>
  <si>
    <t>Aménagement intérieur</t>
  </si>
  <si>
    <t xml:space="preserve">Mobilier </t>
  </si>
  <si>
    <t>Matériels informatiques</t>
  </si>
  <si>
    <t>Année 3</t>
  </si>
  <si>
    <t>Matériels (production, transport … )</t>
  </si>
  <si>
    <t>Immobilisations Financières</t>
  </si>
  <si>
    <t>Besoin en fonds de roulement**</t>
  </si>
  <si>
    <t>Incidence de l"année n-1</t>
  </si>
  <si>
    <t>Constitution</t>
  </si>
  <si>
    <t>Variation du BFR</t>
  </si>
  <si>
    <t>Remboursement emprunt LT</t>
  </si>
  <si>
    <t>TOTAL DES BESOINS</t>
  </si>
  <si>
    <t>RESSOURCES</t>
  </si>
  <si>
    <t>Fonds associatifs</t>
  </si>
  <si>
    <t xml:space="preserve">Constitution du fonds associatif </t>
  </si>
  <si>
    <t xml:space="preserve">Contrat d'Apport Associatif </t>
  </si>
  <si>
    <t>Fonds Commun de Placement</t>
  </si>
  <si>
    <t>Subventions</t>
  </si>
  <si>
    <t>Fondations et Fondations d'entreprises</t>
  </si>
  <si>
    <t>Prêts bancaires</t>
  </si>
  <si>
    <t>Capacité d'autofinancement</t>
  </si>
  <si>
    <t>TOTAL DES RESSOURCES</t>
  </si>
  <si>
    <t>SOLDE</t>
  </si>
  <si>
    <t>Détail des charges salariales</t>
  </si>
  <si>
    <t>Valeurs en €uros</t>
  </si>
  <si>
    <t xml:space="preserve">1er exercice </t>
  </si>
  <si>
    <t>mois</t>
  </si>
  <si>
    <t>STATUTS</t>
  </si>
  <si>
    <t xml:space="preserve">Nombre de </t>
  </si>
  <si>
    <t>Nombre</t>
  </si>
  <si>
    <t xml:space="preserve">Brut </t>
  </si>
  <si>
    <t>Coefficient</t>
  </si>
  <si>
    <t xml:space="preserve">Brut annuel </t>
  </si>
  <si>
    <t xml:space="preserve">Brut annuel chargé </t>
  </si>
  <si>
    <t xml:space="preserve">Aides aux </t>
  </si>
  <si>
    <t>salariés</t>
  </si>
  <si>
    <t>de mois</t>
  </si>
  <si>
    <t>mensuel</t>
  </si>
  <si>
    <t>total</t>
  </si>
  <si>
    <t>chargé</t>
  </si>
  <si>
    <t>déduction des exo</t>
  </si>
  <si>
    <t>postes</t>
  </si>
  <si>
    <t>CES</t>
  </si>
  <si>
    <t>CDDI</t>
  </si>
  <si>
    <t>CDI Directeur</t>
  </si>
  <si>
    <t>CDI Encadrant technique</t>
  </si>
  <si>
    <t>Poste CEC</t>
  </si>
  <si>
    <t>Poste EJ - Adulte relais</t>
  </si>
  <si>
    <t>CDI Secrétaire</t>
  </si>
  <si>
    <t xml:space="preserve">     TOTAL</t>
  </si>
  <si>
    <t>Nombre d'heures de travail</t>
  </si>
  <si>
    <t>Nombre d'ETP annuels</t>
  </si>
  <si>
    <t>2ème Exercice (12 mois )</t>
  </si>
  <si>
    <t>CES Renouvelés</t>
  </si>
  <si>
    <t>CES Nouveaux</t>
  </si>
  <si>
    <t>CDDI (Temps plein)</t>
  </si>
  <si>
    <t>3ème Exercice (12 mois )</t>
  </si>
  <si>
    <t>PLAN DE TRESORERIE ( SUR 12 MOIS)</t>
  </si>
  <si>
    <t>Jan</t>
  </si>
  <si>
    <t>Fev</t>
  </si>
  <si>
    <t>Mar</t>
  </si>
  <si>
    <t>Avr</t>
  </si>
  <si>
    <t>Mai</t>
  </si>
  <si>
    <t>Juin</t>
  </si>
  <si>
    <t>Juillet</t>
  </si>
  <si>
    <t>Août</t>
  </si>
  <si>
    <t>Sept</t>
  </si>
  <si>
    <t>Oct</t>
  </si>
  <si>
    <t>Nov</t>
  </si>
  <si>
    <t>Déc</t>
  </si>
  <si>
    <t>TOTAL</t>
  </si>
  <si>
    <t>RECETTES</t>
  </si>
  <si>
    <t>1 - De financement</t>
  </si>
  <si>
    <t>Constitution du fonds associatif</t>
  </si>
  <si>
    <t>Contrat d'apport associatif</t>
  </si>
  <si>
    <t>Fonds commun de placement</t>
  </si>
  <si>
    <t>2 - D'exploitation</t>
  </si>
  <si>
    <t>Chiffre d'affaires Collectivités</t>
  </si>
  <si>
    <t>TOTAL DES RECETTES</t>
  </si>
  <si>
    <t>DEPENSES</t>
  </si>
  <si>
    <t>1 - D'investissement</t>
  </si>
  <si>
    <t>Immobilisations incorporelles</t>
  </si>
  <si>
    <t>Immobilisations corporelles</t>
  </si>
  <si>
    <t>Immobilisations financières</t>
  </si>
  <si>
    <t>Loyers</t>
  </si>
  <si>
    <t>Fournitures diverses</t>
  </si>
  <si>
    <t>Fournitures non stockées ( eau, gaz, edf etc.)</t>
  </si>
  <si>
    <t>Expertise comptable + commissariat aux compte</t>
  </si>
  <si>
    <t>Honoraires (conseils)</t>
  </si>
  <si>
    <t>Assurance</t>
  </si>
  <si>
    <t>Déplacements, Missions, Réception</t>
  </si>
  <si>
    <t>Frais de formation des encadrants</t>
  </si>
  <si>
    <t>Masse salariale Direction</t>
  </si>
  <si>
    <t>Masse salariale Secrétariat</t>
  </si>
  <si>
    <t>Services bancaires</t>
  </si>
  <si>
    <t>Mensualités (remboursement du prêt bancaire)</t>
  </si>
  <si>
    <t>TOTAL DES DEPENSES</t>
  </si>
  <si>
    <t>SOLDE CUMULE</t>
  </si>
  <si>
    <t>EMPRUNT  BANCAIRE  ANNEE 1</t>
  </si>
  <si>
    <t>CAPITAL</t>
  </si>
  <si>
    <t>EMPRUNTE</t>
  </si>
  <si>
    <t>DUREE (mois)</t>
  </si>
  <si>
    <t>TAUX</t>
  </si>
  <si>
    <t>MENSUALITE</t>
  </si>
  <si>
    <t>Mois</t>
  </si>
  <si>
    <t>PRINCIPAL</t>
  </si>
  <si>
    <t>INTERET</t>
  </si>
  <si>
    <t>ANNEE 1</t>
  </si>
  <si>
    <t>ANNEE 2</t>
  </si>
  <si>
    <t>ANNEE 3</t>
  </si>
  <si>
    <t>Intérêt</t>
  </si>
  <si>
    <t>Capital</t>
  </si>
  <si>
    <t>EMPRUNT ANNEE 2</t>
  </si>
  <si>
    <t>ANNEE 4</t>
  </si>
  <si>
    <t>EMPRUNT ANNEE 3</t>
  </si>
  <si>
    <t>ANNEE 5</t>
  </si>
  <si>
    <t>CUMUL EMPRUNTS ANNEE 1, 2 et 3</t>
  </si>
  <si>
    <r>
      <t xml:space="preserve">DÉTERMINATION DES DOTATIONS AUX AMORTISSEMENTS </t>
    </r>
    <r>
      <rPr>
        <b/>
        <sz val="14"/>
        <rFont val="Arial"/>
        <family val="2"/>
      </rPr>
      <t>1ère Année</t>
    </r>
  </si>
  <si>
    <t>IMMOBILISATIONS</t>
  </si>
  <si>
    <t xml:space="preserve">MONTANT </t>
  </si>
  <si>
    <t>DURÉE</t>
  </si>
  <si>
    <t>ANNÉE 2</t>
  </si>
  <si>
    <t>ANNÉE 3</t>
  </si>
  <si>
    <r>
      <t>DÉTERMINATION DES DOTATIONS AUX AMORTISSEMENTS 2e</t>
    </r>
    <r>
      <rPr>
        <b/>
        <sz val="14"/>
        <rFont val="Arial"/>
        <family val="2"/>
      </rPr>
      <t xml:space="preserve"> Année</t>
    </r>
  </si>
  <si>
    <t>SYNTHESE DES DOTATIONS AUX AMORTISSEMENTS</t>
  </si>
  <si>
    <t>Activité 1</t>
  </si>
  <si>
    <t>Activité 2</t>
  </si>
  <si>
    <t>Activité 3</t>
  </si>
  <si>
    <t>Total</t>
  </si>
</sst>
</file>

<file path=xl/styles.xml><?xml version="1.0" encoding="utf-8"?>
<styleSheet xmlns="http://schemas.openxmlformats.org/spreadsheetml/2006/main">
  <numFmts count="17">
    <numFmt numFmtId="164" formatCode="GENERAL"/>
    <numFmt numFmtId="165" formatCode="_-* #,##0.00\ [$€]_-;\-* #,##0.00\ [$€]_-;_-* \-??\ [$€]_-;_-@_-"/>
    <numFmt numFmtId="166" formatCode="#,##0&quot; €&quot;"/>
    <numFmt numFmtId="167" formatCode="_-* #,##0\ [$€]_-;\-* #,##0\ [$€]_-;_-* \-??\ [$€]_-;_-@_-"/>
    <numFmt numFmtId="168" formatCode="#,##0.00\ _€"/>
    <numFmt numFmtId="169" formatCode="0.00%"/>
    <numFmt numFmtId="170" formatCode="_-* #,##0.00\ [$€-81D]_-;\-* #,##0.00\ [$€-81D]_-;_-* \-??\ [$€-81D]_-;_-@_-"/>
    <numFmt numFmtId="171" formatCode="0"/>
    <numFmt numFmtId="172" formatCode="#,##0"/>
    <numFmt numFmtId="173" formatCode="#,##0&quot; F&quot;"/>
    <numFmt numFmtId="174" formatCode="0.00"/>
    <numFmt numFmtId="175" formatCode="DD/MM/YYYY"/>
    <numFmt numFmtId="176" formatCode="#,##0.00"/>
    <numFmt numFmtId="177" formatCode="0%"/>
    <numFmt numFmtId="178" formatCode="#,##0\ _F"/>
    <numFmt numFmtId="179" formatCode="_-* #,##0.00\ [$€-407]_-;\-* #,##0.00\ [$€-407]_-;_-* \-??\ [$€-407]_-;_-@_-"/>
    <numFmt numFmtId="180" formatCode="0.0%"/>
  </numFmts>
  <fonts count="50">
    <font>
      <sz val="10"/>
      <name val="Arial"/>
      <family val="2"/>
    </font>
    <font>
      <sz val="9"/>
      <name val="Geneva"/>
      <family val="2"/>
    </font>
    <font>
      <b/>
      <sz val="12"/>
      <name val="Arial"/>
      <family val="2"/>
    </font>
    <font>
      <b/>
      <i/>
      <sz val="10"/>
      <name val="Arial"/>
      <family val="2"/>
    </font>
    <font>
      <b/>
      <sz val="8"/>
      <color indexed="8"/>
      <name val="Times New Roman"/>
      <family val="1"/>
    </font>
    <font>
      <b/>
      <sz val="10"/>
      <color indexed="10"/>
      <name val="Arial"/>
      <family val="2"/>
    </font>
    <font>
      <b/>
      <sz val="10"/>
      <name val="Arial"/>
      <family val="2"/>
    </font>
    <font>
      <sz val="12"/>
      <name val="Times New Roman"/>
      <family val="1"/>
    </font>
    <font>
      <b/>
      <sz val="12"/>
      <name val="Times New Roman"/>
      <family val="1"/>
    </font>
    <font>
      <sz val="12"/>
      <color indexed="10"/>
      <name val="Times New Roman"/>
      <family val="1"/>
    </font>
    <font>
      <b/>
      <sz val="8"/>
      <name val="Times New Roman"/>
      <family val="1"/>
    </font>
    <font>
      <sz val="8"/>
      <color indexed="8"/>
      <name val="Times New Roman"/>
      <family val="1"/>
    </font>
    <font>
      <b/>
      <sz val="10"/>
      <name val="Times New Roman"/>
      <family val="1"/>
    </font>
    <font>
      <b/>
      <u val="single"/>
      <sz val="12"/>
      <name val="Times New Roman"/>
      <family val="1"/>
    </font>
    <font>
      <b/>
      <sz val="11"/>
      <name val="Times New Roman"/>
      <family val="1"/>
    </font>
    <font>
      <sz val="11"/>
      <name val="Times New Roman"/>
      <family val="1"/>
    </font>
    <font>
      <b/>
      <i/>
      <sz val="12"/>
      <name val="Times New Roman"/>
      <family val="1"/>
    </font>
    <font>
      <b/>
      <i/>
      <sz val="11"/>
      <name val="Times New Roman"/>
      <family val="1"/>
    </font>
    <font>
      <b/>
      <i/>
      <u val="single"/>
      <sz val="12"/>
      <name val="Times New Roman"/>
      <family val="1"/>
    </font>
    <font>
      <i/>
      <sz val="12"/>
      <name val="Times New Roman"/>
      <family val="1"/>
    </font>
    <font>
      <b/>
      <i/>
      <sz val="14"/>
      <name val="Times New Roman"/>
      <family val="1"/>
    </font>
    <font>
      <sz val="8"/>
      <name val="Times New Roman"/>
      <family val="1"/>
    </font>
    <font>
      <b/>
      <sz val="11"/>
      <color indexed="10"/>
      <name val="Times New Roman"/>
      <family val="1"/>
    </font>
    <font>
      <u val="single"/>
      <sz val="12"/>
      <color indexed="10"/>
      <name val="Times New Roman"/>
      <family val="1"/>
    </font>
    <font>
      <b/>
      <sz val="12"/>
      <color indexed="10"/>
      <name val="Times New Roman"/>
      <family val="1"/>
    </font>
    <font>
      <sz val="11"/>
      <color indexed="10"/>
      <name val="Times New Roman"/>
      <family val="1"/>
    </font>
    <font>
      <sz val="16"/>
      <name val="Times New Roman"/>
      <family val="1"/>
    </font>
    <font>
      <b/>
      <u val="single"/>
      <sz val="11"/>
      <name val="Times New Roman"/>
      <family val="1"/>
    </font>
    <font>
      <b/>
      <sz val="11"/>
      <color indexed="8"/>
      <name val="Times New Roman"/>
      <family val="1"/>
    </font>
    <font>
      <sz val="12"/>
      <name val="Arial"/>
      <family val="2"/>
    </font>
    <font>
      <sz val="12"/>
      <color indexed="10"/>
      <name val="Arial"/>
      <family val="2"/>
    </font>
    <font>
      <b/>
      <sz val="9"/>
      <name val="Geneva"/>
      <family val="2"/>
    </font>
    <font>
      <b/>
      <i/>
      <sz val="9"/>
      <name val="Geneva"/>
      <family val="2"/>
    </font>
    <font>
      <sz val="9"/>
      <color indexed="10"/>
      <name val="Geneva"/>
      <family val="2"/>
    </font>
    <font>
      <b/>
      <sz val="12"/>
      <name val="Geneva"/>
      <family val="2"/>
    </font>
    <font>
      <b/>
      <sz val="10"/>
      <color indexed="10"/>
      <name val="Geneva"/>
      <family val="2"/>
    </font>
    <font>
      <b/>
      <sz val="10"/>
      <name val="Geneva"/>
      <family val="2"/>
    </font>
    <font>
      <b/>
      <sz val="10"/>
      <color indexed="22"/>
      <name val="Geneva"/>
      <family val="2"/>
    </font>
    <font>
      <b/>
      <sz val="10"/>
      <color indexed="9"/>
      <name val="Geneva"/>
      <family val="2"/>
    </font>
    <font>
      <b/>
      <sz val="9"/>
      <color indexed="10"/>
      <name val="Geneva"/>
      <family val="2"/>
    </font>
    <font>
      <b/>
      <sz val="12"/>
      <color indexed="10"/>
      <name val="Arial"/>
      <family val="2"/>
    </font>
    <font>
      <b/>
      <sz val="9"/>
      <name val="Arial"/>
      <family val="2"/>
    </font>
    <font>
      <b/>
      <sz val="9"/>
      <color indexed="10"/>
      <name val="Arial"/>
      <family val="2"/>
    </font>
    <font>
      <b/>
      <u val="single"/>
      <sz val="12"/>
      <name val="Arial"/>
      <family val="2"/>
    </font>
    <font>
      <sz val="14"/>
      <name val="Arial"/>
      <family val="2"/>
    </font>
    <font>
      <b/>
      <u val="single"/>
      <sz val="14"/>
      <name val="Arial"/>
      <family val="2"/>
    </font>
    <font>
      <b/>
      <sz val="14"/>
      <name val="Arial"/>
      <family val="2"/>
    </font>
    <font>
      <sz val="14"/>
      <name val="Times New Roman"/>
      <family val="1"/>
    </font>
    <font>
      <b/>
      <i/>
      <u val="single"/>
      <sz val="14"/>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s>
  <borders count="5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double">
        <color indexed="8"/>
      </left>
      <right style="double">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color indexed="63"/>
      </top>
      <bottom>
        <color indexed="63"/>
      </bottom>
    </border>
    <border>
      <left style="double">
        <color indexed="8"/>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style="double">
        <color indexed="8"/>
      </right>
      <top>
        <color indexed="63"/>
      </top>
      <bottom>
        <color indexed="63"/>
      </bottom>
    </border>
    <border>
      <left style="double">
        <color indexed="8"/>
      </left>
      <right>
        <color indexed="63"/>
      </right>
      <top>
        <color indexed="63"/>
      </top>
      <bottom style="double">
        <color indexed="8"/>
      </bottom>
    </border>
    <border>
      <left style="double">
        <color indexed="8"/>
      </left>
      <right style="double">
        <color indexed="8"/>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4" fontId="1" fillId="0" borderId="0">
      <alignment/>
      <protection/>
    </xf>
    <xf numFmtId="164" fontId="1" fillId="0" borderId="0">
      <alignment/>
      <protection/>
    </xf>
    <xf numFmtId="164" fontId="1" fillId="0" borderId="0">
      <alignment/>
      <protection/>
    </xf>
  </cellStyleXfs>
  <cellXfs count="376">
    <xf numFmtId="164" fontId="0" fillId="0" borderId="0" xfId="0" applyAlignment="1">
      <alignment/>
    </xf>
    <xf numFmtId="164" fontId="0" fillId="0" borderId="0" xfId="0" applyAlignment="1" applyProtection="1">
      <alignment/>
      <protection/>
    </xf>
    <xf numFmtId="164" fontId="0" fillId="0" borderId="0" xfId="0" applyFont="1" applyAlignment="1" applyProtection="1">
      <alignment horizontal="center"/>
      <protection/>
    </xf>
    <xf numFmtId="164" fontId="2" fillId="0" borderId="0" xfId="0" applyFont="1" applyAlignment="1" applyProtection="1">
      <alignment horizontal="center"/>
      <protection/>
    </xf>
    <xf numFmtId="164" fontId="3" fillId="0" borderId="0" xfId="0" applyFont="1" applyAlignment="1" applyProtection="1">
      <alignment/>
      <protection/>
    </xf>
    <xf numFmtId="164" fontId="0" fillId="0" borderId="0" xfId="0" applyFont="1" applyAlignment="1" applyProtection="1">
      <alignment/>
      <protection/>
    </xf>
    <xf numFmtId="164" fontId="0" fillId="2" borderId="1" xfId="0" applyFill="1" applyBorder="1" applyAlignment="1" applyProtection="1">
      <alignment/>
      <protection/>
    </xf>
    <xf numFmtId="164" fontId="0" fillId="0" borderId="1" xfId="0" applyBorder="1" applyAlignment="1" applyProtection="1">
      <alignment/>
      <protection/>
    </xf>
    <xf numFmtId="164" fontId="0" fillId="3" borderId="1" xfId="0" applyFill="1" applyBorder="1" applyAlignment="1" applyProtection="1">
      <alignment/>
      <protection/>
    </xf>
    <xf numFmtId="164" fontId="5" fillId="0" borderId="1" xfId="0" applyFont="1" applyFill="1" applyBorder="1" applyAlignment="1" applyProtection="1">
      <alignment horizontal="center" vertical="center" wrapText="1"/>
      <protection/>
    </xf>
    <xf numFmtId="164" fontId="6" fillId="0" borderId="1" xfId="0" applyFont="1" applyBorder="1" applyAlignment="1" applyProtection="1">
      <alignment horizontal="center"/>
      <protection/>
    </xf>
    <xf numFmtId="164" fontId="6" fillId="0" borderId="2" xfId="0" applyFont="1" applyBorder="1" applyAlignment="1" applyProtection="1">
      <alignment horizontal="center"/>
      <protection/>
    </xf>
    <xf numFmtId="164" fontId="6" fillId="0" borderId="3" xfId="0" applyFont="1" applyBorder="1" applyAlignment="1" applyProtection="1">
      <alignment horizontal="center"/>
      <protection/>
    </xf>
    <xf numFmtId="164" fontId="0" fillId="0" borderId="4" xfId="0" applyFont="1" applyBorder="1" applyAlignment="1" applyProtection="1">
      <alignment/>
      <protection/>
    </xf>
    <xf numFmtId="166" fontId="0" fillId="4" borderId="5" xfId="0" applyNumberFormat="1" applyFill="1" applyBorder="1" applyAlignment="1" applyProtection="1">
      <alignment/>
      <protection locked="0"/>
    </xf>
    <xf numFmtId="166" fontId="0" fillId="4" borderId="4" xfId="0" applyNumberFormat="1" applyFill="1" applyBorder="1" applyAlignment="1" applyProtection="1">
      <alignment/>
      <protection locked="0"/>
    </xf>
    <xf numFmtId="164" fontId="0" fillId="0" borderId="5" xfId="0" applyFont="1" applyBorder="1" applyAlignment="1" applyProtection="1">
      <alignment/>
      <protection/>
    </xf>
    <xf numFmtId="164" fontId="0" fillId="0" borderId="6" xfId="0" applyBorder="1" applyAlignment="1" applyProtection="1">
      <alignment/>
      <protection/>
    </xf>
    <xf numFmtId="166" fontId="0" fillId="0" borderId="7" xfId="0" applyNumberFormat="1" applyBorder="1" applyAlignment="1" applyProtection="1">
      <alignment/>
      <protection/>
    </xf>
    <xf numFmtId="166" fontId="0" fillId="0" borderId="6" xfId="0" applyNumberFormat="1" applyBorder="1" applyAlignment="1" applyProtection="1">
      <alignment/>
      <protection/>
    </xf>
    <xf numFmtId="164" fontId="0" fillId="0" borderId="7" xfId="0" applyBorder="1" applyAlignment="1" applyProtection="1">
      <alignment/>
      <protection/>
    </xf>
    <xf numFmtId="167" fontId="0" fillId="5" borderId="1" xfId="20" applyNumberFormat="1" applyFont="1" applyFill="1" applyBorder="1" applyAlignment="1" applyProtection="1">
      <alignment/>
      <protection/>
    </xf>
    <xf numFmtId="164" fontId="0" fillId="0" borderId="2" xfId="0" applyFont="1" applyBorder="1" applyAlignment="1" applyProtection="1">
      <alignment/>
      <protection/>
    </xf>
    <xf numFmtId="166" fontId="0" fillId="5" borderId="3" xfId="0" applyNumberFormat="1" applyFill="1" applyBorder="1" applyAlignment="1" applyProtection="1">
      <alignment/>
      <protection/>
    </xf>
    <xf numFmtId="166" fontId="0" fillId="5" borderId="5" xfId="0" applyNumberFormat="1" applyFill="1" applyBorder="1" applyAlignment="1" applyProtection="1">
      <alignment/>
      <protection/>
    </xf>
    <xf numFmtId="166" fontId="0" fillId="5" borderId="7" xfId="0" applyNumberFormat="1" applyFill="1" applyBorder="1" applyAlignment="1" applyProtection="1">
      <alignment/>
      <protection/>
    </xf>
    <xf numFmtId="165" fontId="7" fillId="6" borderId="0" xfId="20" applyFont="1" applyFill="1" applyBorder="1" applyAlignment="1" applyProtection="1">
      <alignment/>
      <protection/>
    </xf>
    <xf numFmtId="165" fontId="8" fillId="6" borderId="0" xfId="20" applyFont="1" applyFill="1" applyBorder="1" applyAlignment="1" applyProtection="1">
      <alignment/>
      <protection/>
    </xf>
    <xf numFmtId="165" fontId="9" fillId="6" borderId="0" xfId="20" applyFont="1" applyFill="1" applyBorder="1" applyAlignment="1" applyProtection="1">
      <alignment/>
      <protection/>
    </xf>
    <xf numFmtId="165" fontId="8" fillId="6" borderId="8" xfId="20" applyFont="1" applyFill="1" applyBorder="1" applyAlignment="1" applyProtection="1">
      <alignment horizontal="center"/>
      <protection/>
    </xf>
    <xf numFmtId="165" fontId="8" fillId="6" borderId="9" xfId="20" applyFont="1" applyFill="1" applyBorder="1" applyAlignment="1" applyProtection="1">
      <alignment horizontal="center"/>
      <protection/>
    </xf>
    <xf numFmtId="165" fontId="8" fillId="6" borderId="10" xfId="20" applyFont="1" applyFill="1" applyBorder="1" applyAlignment="1" applyProtection="1">
      <alignment horizontal="center"/>
      <protection/>
    </xf>
    <xf numFmtId="165" fontId="10" fillId="6" borderId="0" xfId="20" applyFont="1" applyFill="1" applyBorder="1" applyAlignment="1" applyProtection="1">
      <alignment horizontal="center"/>
      <protection/>
    </xf>
    <xf numFmtId="165" fontId="10" fillId="6" borderId="11" xfId="20" applyFont="1" applyFill="1" applyBorder="1" applyAlignment="1" applyProtection="1">
      <alignment horizontal="center"/>
      <protection/>
    </xf>
    <xf numFmtId="165" fontId="8" fillId="6" borderId="12" xfId="20" applyFont="1" applyFill="1" applyBorder="1" applyAlignment="1" applyProtection="1">
      <alignment horizontal="center"/>
      <protection/>
    </xf>
    <xf numFmtId="165" fontId="10" fillId="6" borderId="13" xfId="20" applyFont="1" applyFill="1" applyBorder="1" applyAlignment="1" applyProtection="1">
      <alignment horizontal="center"/>
      <protection/>
    </xf>
    <xf numFmtId="165" fontId="10" fillId="6" borderId="14" xfId="20" applyFont="1" applyFill="1" applyBorder="1" applyAlignment="1" applyProtection="1">
      <alignment horizontal="center"/>
      <protection/>
    </xf>
    <xf numFmtId="165" fontId="10" fillId="6" borderId="15" xfId="20" applyFont="1" applyFill="1" applyBorder="1" applyAlignment="1" applyProtection="1">
      <alignment horizontal="center"/>
      <protection/>
    </xf>
    <xf numFmtId="165" fontId="8" fillId="6" borderId="13" xfId="20" applyFont="1" applyFill="1" applyBorder="1" applyAlignment="1" applyProtection="1">
      <alignment/>
      <protection/>
    </xf>
    <xf numFmtId="165" fontId="8" fillId="6" borderId="16" xfId="20" applyFont="1" applyFill="1" applyBorder="1" applyAlignment="1" applyProtection="1">
      <alignment horizontal="center"/>
      <protection/>
    </xf>
    <xf numFmtId="165" fontId="8" fillId="6" borderId="1" xfId="20" applyFont="1" applyFill="1" applyBorder="1" applyAlignment="1" applyProtection="1">
      <alignment horizontal="center"/>
      <protection/>
    </xf>
    <xf numFmtId="165" fontId="8" fillId="6" borderId="17" xfId="20" applyFont="1" applyFill="1" applyBorder="1" applyAlignment="1" applyProtection="1">
      <alignment horizontal="center"/>
      <protection/>
    </xf>
    <xf numFmtId="165" fontId="8" fillId="6" borderId="18" xfId="20" applyFont="1" applyFill="1" applyBorder="1" applyAlignment="1" applyProtection="1">
      <alignment horizontal="center"/>
      <protection/>
    </xf>
    <xf numFmtId="165" fontId="12" fillId="6" borderId="1" xfId="20" applyFont="1" applyFill="1" applyBorder="1" applyAlignment="1" applyProtection="1">
      <alignment horizontal="center"/>
      <protection/>
    </xf>
    <xf numFmtId="165" fontId="12" fillId="6" borderId="17" xfId="20" applyFont="1" applyFill="1" applyBorder="1" applyAlignment="1" applyProtection="1">
      <alignment horizontal="center"/>
      <protection/>
    </xf>
    <xf numFmtId="165" fontId="8" fillId="6" borderId="19" xfId="20" applyFont="1" applyFill="1" applyBorder="1" applyAlignment="1" applyProtection="1">
      <alignment horizontal="center"/>
      <protection/>
    </xf>
    <xf numFmtId="165" fontId="13" fillId="0" borderId="2" xfId="20" applyFont="1" applyFill="1" applyBorder="1" applyAlignment="1" applyProtection="1">
      <alignment/>
      <protection/>
    </xf>
    <xf numFmtId="165" fontId="14" fillId="6" borderId="20" xfId="20" applyFont="1" applyFill="1" applyBorder="1" applyAlignment="1" applyProtection="1">
      <alignment horizontal="center"/>
      <protection/>
    </xf>
    <xf numFmtId="165" fontId="15" fillId="6" borderId="5" xfId="20" applyFont="1" applyFill="1" applyBorder="1" applyAlignment="1" applyProtection="1">
      <alignment horizontal="center"/>
      <protection/>
    </xf>
    <xf numFmtId="165" fontId="15" fillId="6" borderId="21" xfId="20" applyFont="1" applyFill="1" applyBorder="1" applyAlignment="1" applyProtection="1">
      <alignment horizontal="center"/>
      <protection/>
    </xf>
    <xf numFmtId="165" fontId="14" fillId="6" borderId="22" xfId="20" applyFont="1" applyFill="1" applyBorder="1" applyAlignment="1" applyProtection="1">
      <alignment horizontal="center"/>
      <protection/>
    </xf>
    <xf numFmtId="165" fontId="15" fillId="0" borderId="5" xfId="20" applyFont="1" applyFill="1" applyBorder="1" applyAlignment="1" applyProtection="1">
      <alignment horizontal="center"/>
      <protection/>
    </xf>
    <xf numFmtId="165" fontId="15" fillId="0" borderId="21" xfId="20" applyFont="1" applyFill="1" applyBorder="1" applyAlignment="1" applyProtection="1">
      <alignment horizontal="center"/>
      <protection/>
    </xf>
    <xf numFmtId="165" fontId="15" fillId="0" borderId="3" xfId="20" applyFont="1" applyFill="1" applyBorder="1" applyAlignment="1" applyProtection="1">
      <alignment horizontal="center"/>
      <protection/>
    </xf>
    <xf numFmtId="165" fontId="16" fillId="0" borderId="4" xfId="20" applyFont="1" applyFill="1" applyBorder="1" applyAlignment="1" applyProtection="1">
      <alignment horizontal="right"/>
      <protection/>
    </xf>
    <xf numFmtId="165" fontId="14" fillId="5" borderId="20" xfId="20" applyFont="1" applyFill="1" applyBorder="1" applyAlignment="1" applyProtection="1">
      <alignment horizontal="center"/>
      <protection/>
    </xf>
    <xf numFmtId="165" fontId="14" fillId="5" borderId="5" xfId="20" applyFont="1" applyFill="1" applyBorder="1" applyAlignment="1" applyProtection="1">
      <alignment horizontal="center"/>
      <protection/>
    </xf>
    <xf numFmtId="165" fontId="14" fillId="5" borderId="21" xfId="20" applyFont="1" applyFill="1" applyBorder="1" applyAlignment="1" applyProtection="1">
      <alignment horizontal="center"/>
      <protection/>
    </xf>
    <xf numFmtId="165" fontId="14" fillId="5" borderId="22" xfId="20" applyFont="1" applyFill="1" applyBorder="1" applyAlignment="1" applyProtection="1">
      <alignment horizontal="center"/>
      <protection/>
    </xf>
    <xf numFmtId="165" fontId="7" fillId="0" borderId="4" xfId="20" applyFont="1" applyFill="1" applyBorder="1" applyAlignment="1" applyProtection="1">
      <alignment/>
      <protection/>
    </xf>
    <xf numFmtId="165" fontId="15" fillId="4" borderId="5" xfId="20" applyFont="1" applyFill="1" applyBorder="1" applyAlignment="1" applyProtection="1">
      <alignment horizontal="center"/>
      <protection locked="0"/>
    </xf>
    <xf numFmtId="165" fontId="15" fillId="4" borderId="21" xfId="20" applyFont="1" applyFill="1" applyBorder="1" applyAlignment="1" applyProtection="1">
      <alignment horizontal="center"/>
      <protection locked="0"/>
    </xf>
    <xf numFmtId="165" fontId="15" fillId="5" borderId="5" xfId="20" applyFont="1" applyFill="1" applyBorder="1" applyAlignment="1" applyProtection="1">
      <alignment horizontal="center"/>
      <protection/>
    </xf>
    <xf numFmtId="165" fontId="14" fillId="0" borderId="20" xfId="20" applyFont="1" applyFill="1" applyBorder="1" applyAlignment="1" applyProtection="1">
      <alignment horizontal="center"/>
      <protection/>
    </xf>
    <xf numFmtId="165" fontId="17" fillId="5" borderId="20" xfId="20" applyFont="1" applyFill="1" applyBorder="1" applyAlignment="1" applyProtection="1">
      <alignment horizontal="center"/>
      <protection/>
    </xf>
    <xf numFmtId="165" fontId="15" fillId="5" borderId="4" xfId="20" applyFont="1" applyFill="1" applyBorder="1" applyAlignment="1" applyProtection="1">
      <alignment horizontal="center"/>
      <protection/>
    </xf>
    <xf numFmtId="165" fontId="15" fillId="5" borderId="20" xfId="20" applyFont="1" applyFill="1" applyBorder="1" applyAlignment="1" applyProtection="1">
      <alignment horizontal="center"/>
      <protection/>
    </xf>
    <xf numFmtId="165" fontId="7" fillId="4" borderId="0" xfId="20" applyFont="1" applyFill="1" applyBorder="1" applyAlignment="1" applyProtection="1">
      <alignment/>
      <protection/>
    </xf>
    <xf numFmtId="165" fontId="15" fillId="4" borderId="5" xfId="20" applyFont="1" applyFill="1" applyBorder="1" applyAlignment="1" applyProtection="1">
      <alignment horizontal="center"/>
      <protection/>
    </xf>
    <xf numFmtId="165" fontId="15" fillId="4" borderId="21" xfId="20" applyFont="1" applyFill="1" applyBorder="1" applyAlignment="1" applyProtection="1">
      <alignment horizontal="center"/>
      <protection/>
    </xf>
    <xf numFmtId="165" fontId="14" fillId="0" borderId="22" xfId="20" applyFont="1" applyFill="1" applyBorder="1" applyAlignment="1" applyProtection="1">
      <alignment horizontal="center"/>
      <protection/>
    </xf>
    <xf numFmtId="165" fontId="7" fillId="0" borderId="4" xfId="20" applyFont="1" applyFill="1" applyBorder="1" applyAlignment="1" applyProtection="1">
      <alignment horizontal="left"/>
      <protection/>
    </xf>
    <xf numFmtId="165" fontId="8" fillId="0" borderId="13" xfId="20" applyFont="1" applyFill="1" applyBorder="1" applyAlignment="1" applyProtection="1">
      <alignment/>
      <protection/>
    </xf>
    <xf numFmtId="165" fontId="17" fillId="6" borderId="19" xfId="20" applyFont="1" applyFill="1" applyBorder="1" applyAlignment="1" applyProtection="1">
      <alignment horizontal="center"/>
      <protection/>
    </xf>
    <xf numFmtId="165" fontId="14" fillId="6" borderId="1" xfId="20" applyFont="1" applyFill="1" applyBorder="1" applyAlignment="1" applyProtection="1">
      <alignment horizontal="center"/>
      <protection/>
    </xf>
    <xf numFmtId="165" fontId="14" fillId="6" borderId="17" xfId="20" applyFont="1" applyFill="1" applyBorder="1" applyAlignment="1" applyProtection="1">
      <alignment horizontal="center"/>
      <protection/>
    </xf>
    <xf numFmtId="165" fontId="17" fillId="6" borderId="18" xfId="20" applyFont="1" applyFill="1" applyBorder="1" applyAlignment="1" applyProtection="1">
      <alignment horizontal="center"/>
      <protection/>
    </xf>
    <xf numFmtId="165" fontId="8" fillId="0" borderId="4" xfId="20" applyFont="1" applyFill="1" applyBorder="1" applyAlignment="1" applyProtection="1">
      <alignment/>
      <protection/>
    </xf>
    <xf numFmtId="165" fontId="17" fillId="6" borderId="20" xfId="20" applyFont="1" applyFill="1" applyBorder="1" applyAlignment="1" applyProtection="1">
      <alignment horizontal="center"/>
      <protection/>
    </xf>
    <xf numFmtId="165" fontId="14" fillId="6" borderId="5" xfId="20" applyFont="1" applyFill="1" applyBorder="1" applyAlignment="1" applyProtection="1">
      <alignment horizontal="center"/>
      <protection/>
    </xf>
    <xf numFmtId="165" fontId="14" fillId="6" borderId="21" xfId="20" applyFont="1" applyFill="1" applyBorder="1" applyAlignment="1" applyProtection="1">
      <alignment horizontal="center"/>
      <protection/>
    </xf>
    <xf numFmtId="165" fontId="17" fillId="6" borderId="22" xfId="20" applyFont="1" applyFill="1" applyBorder="1" applyAlignment="1" applyProtection="1">
      <alignment horizontal="center"/>
      <protection/>
    </xf>
    <xf numFmtId="165" fontId="14" fillId="6" borderId="3" xfId="20" applyFont="1" applyFill="1" applyBorder="1" applyAlignment="1" applyProtection="1">
      <alignment horizontal="center"/>
      <protection/>
    </xf>
    <xf numFmtId="165" fontId="18" fillId="0" borderId="4" xfId="20" applyFont="1" applyFill="1" applyBorder="1" applyAlignment="1" applyProtection="1">
      <alignment/>
      <protection/>
    </xf>
    <xf numFmtId="165" fontId="17" fillId="5" borderId="22" xfId="20" applyFont="1" applyFill="1" applyBorder="1" applyAlignment="1" applyProtection="1">
      <alignment horizontal="center"/>
      <protection/>
    </xf>
    <xf numFmtId="165" fontId="14" fillId="5" borderId="4" xfId="20" applyFont="1" applyFill="1" applyBorder="1" applyAlignment="1" applyProtection="1">
      <alignment horizontal="center"/>
      <protection/>
    </xf>
    <xf numFmtId="165" fontId="14" fillId="5" borderId="0" xfId="20" applyFont="1" applyFill="1" applyBorder="1" applyAlignment="1" applyProtection="1">
      <alignment horizontal="center"/>
      <protection/>
    </xf>
    <xf numFmtId="165" fontId="14" fillId="5" borderId="11" xfId="20" applyFont="1" applyFill="1" applyBorder="1" applyAlignment="1" applyProtection="1">
      <alignment horizontal="center"/>
      <protection/>
    </xf>
    <xf numFmtId="165" fontId="19" fillId="0" borderId="4" xfId="20" applyFont="1" applyFill="1" applyBorder="1" applyAlignment="1" applyProtection="1">
      <alignment/>
      <protection/>
    </xf>
    <xf numFmtId="165" fontId="15" fillId="0" borderId="7" xfId="20" applyFont="1" applyFill="1" applyBorder="1" applyAlignment="1" applyProtection="1">
      <alignment horizontal="center"/>
      <protection/>
    </xf>
    <xf numFmtId="165" fontId="14" fillId="6" borderId="19" xfId="20" applyFont="1" applyFill="1" applyBorder="1" applyAlignment="1" applyProtection="1">
      <alignment horizontal="center"/>
      <protection/>
    </xf>
    <xf numFmtId="165" fontId="14" fillId="6" borderId="18" xfId="20" applyFont="1" applyFill="1" applyBorder="1" applyAlignment="1" applyProtection="1">
      <alignment horizontal="center"/>
      <protection/>
    </xf>
    <xf numFmtId="165" fontId="8" fillId="6" borderId="4" xfId="20" applyFont="1" applyFill="1" applyBorder="1" applyAlignment="1" applyProtection="1">
      <alignment/>
      <protection/>
    </xf>
    <xf numFmtId="165" fontId="14" fillId="6" borderId="4" xfId="20" applyFont="1" applyFill="1" applyBorder="1" applyAlignment="1" applyProtection="1">
      <alignment horizontal="center"/>
      <protection/>
    </xf>
    <xf numFmtId="165" fontId="14" fillId="6" borderId="0" xfId="20" applyFont="1" applyFill="1" applyBorder="1" applyAlignment="1" applyProtection="1">
      <alignment horizontal="center"/>
      <protection/>
    </xf>
    <xf numFmtId="165" fontId="14" fillId="6" borderId="11" xfId="20" applyFont="1" applyFill="1" applyBorder="1" applyAlignment="1" applyProtection="1">
      <alignment horizontal="center"/>
      <protection/>
    </xf>
    <xf numFmtId="165" fontId="14" fillId="5" borderId="20" xfId="20" applyFont="1" applyFill="1" applyBorder="1" applyAlignment="1" applyProtection="1">
      <alignment horizontal="center"/>
      <protection locked="0"/>
    </xf>
    <xf numFmtId="165" fontId="14" fillId="5" borderId="22" xfId="20" applyFont="1" applyFill="1" applyBorder="1" applyAlignment="1" applyProtection="1">
      <alignment horizontal="center"/>
      <protection locked="0"/>
    </xf>
    <xf numFmtId="165" fontId="20" fillId="0" borderId="4" xfId="20" applyFont="1" applyFill="1" applyBorder="1" applyAlignment="1" applyProtection="1">
      <alignment horizontal="right"/>
      <protection/>
    </xf>
    <xf numFmtId="165" fontId="15" fillId="5" borderId="0" xfId="20" applyFont="1" applyFill="1" applyBorder="1" applyAlignment="1" applyProtection="1">
      <alignment horizontal="center"/>
      <protection/>
    </xf>
    <xf numFmtId="165" fontId="22" fillId="6" borderId="20" xfId="20" applyFont="1" applyFill="1" applyBorder="1" applyAlignment="1" applyProtection="1">
      <alignment horizontal="center"/>
      <protection/>
    </xf>
    <xf numFmtId="165" fontId="7" fillId="0" borderId="0" xfId="20" applyFont="1" applyFill="1" applyBorder="1" applyAlignment="1" applyProtection="1">
      <alignment/>
      <protection/>
    </xf>
    <xf numFmtId="165" fontId="14" fillId="6" borderId="23" xfId="20" applyFont="1" applyFill="1" applyBorder="1" applyAlignment="1" applyProtection="1">
      <alignment horizontal="center"/>
      <protection/>
    </xf>
    <xf numFmtId="165" fontId="9" fillId="0" borderId="4" xfId="20" applyFont="1" applyFill="1" applyBorder="1" applyAlignment="1" applyProtection="1">
      <alignment/>
      <protection/>
    </xf>
    <xf numFmtId="165" fontId="14" fillId="0" borderId="5" xfId="20" applyFont="1" applyFill="1" applyBorder="1" applyAlignment="1" applyProtection="1">
      <alignment horizontal="center"/>
      <protection/>
    </xf>
    <xf numFmtId="165" fontId="14" fillId="0" borderId="21" xfId="20" applyFont="1" applyFill="1" applyBorder="1" applyAlignment="1" applyProtection="1">
      <alignment horizontal="center"/>
      <protection/>
    </xf>
    <xf numFmtId="165" fontId="14" fillId="0" borderId="3" xfId="20" applyFont="1" applyFill="1" applyBorder="1" applyAlignment="1" applyProtection="1">
      <alignment horizontal="center"/>
      <protection/>
    </xf>
    <xf numFmtId="165" fontId="15" fillId="5" borderId="21" xfId="20" applyFont="1" applyFill="1" applyBorder="1" applyAlignment="1" applyProtection="1">
      <alignment horizontal="center"/>
      <protection/>
    </xf>
    <xf numFmtId="165" fontId="8" fillId="0" borderId="2" xfId="20" applyFont="1" applyFill="1" applyBorder="1" applyAlignment="1" applyProtection="1">
      <alignment/>
      <protection/>
    </xf>
    <xf numFmtId="165" fontId="14" fillId="4" borderId="20" xfId="20" applyFont="1" applyFill="1" applyBorder="1" applyAlignment="1" applyProtection="1">
      <alignment horizontal="center"/>
      <protection locked="0"/>
    </xf>
    <xf numFmtId="165" fontId="14" fillId="4" borderId="22" xfId="20" applyFont="1" applyFill="1" applyBorder="1" applyAlignment="1" applyProtection="1">
      <alignment horizontal="center"/>
      <protection locked="0"/>
    </xf>
    <xf numFmtId="165" fontId="7" fillId="0" borderId="6" xfId="20" applyFont="1" applyFill="1" applyBorder="1" applyAlignment="1" applyProtection="1">
      <alignment/>
      <protection/>
    </xf>
    <xf numFmtId="165" fontId="16" fillId="0" borderId="4" xfId="20" applyFont="1" applyFill="1" applyBorder="1" applyAlignment="1" applyProtection="1">
      <alignment horizontal="left"/>
      <protection/>
    </xf>
    <xf numFmtId="165" fontId="14" fillId="6" borderId="24" xfId="20" applyFont="1" applyFill="1" applyBorder="1" applyAlignment="1" applyProtection="1">
      <alignment horizontal="center"/>
      <protection/>
    </xf>
    <xf numFmtId="165" fontId="14" fillId="6" borderId="25" xfId="20" applyFont="1" applyFill="1" applyBorder="1" applyAlignment="1" applyProtection="1">
      <alignment horizontal="center"/>
      <protection/>
    </xf>
    <xf numFmtId="165" fontId="14" fillId="6" borderId="26" xfId="20" applyFont="1" applyFill="1" applyBorder="1" applyAlignment="1" applyProtection="1">
      <alignment horizontal="center"/>
      <protection/>
    </xf>
    <xf numFmtId="165" fontId="14" fillId="6" borderId="27" xfId="20" applyFont="1" applyFill="1" applyBorder="1" applyAlignment="1" applyProtection="1">
      <alignment horizontal="center"/>
      <protection/>
    </xf>
    <xf numFmtId="165" fontId="23" fillId="6" borderId="0" xfId="20" applyFont="1" applyFill="1" applyBorder="1" applyAlignment="1" applyProtection="1">
      <alignment/>
      <protection/>
    </xf>
    <xf numFmtId="165" fontId="24" fillId="6" borderId="0" xfId="20" applyFont="1" applyFill="1" applyBorder="1" applyAlignment="1" applyProtection="1">
      <alignment/>
      <protection/>
    </xf>
    <xf numFmtId="165" fontId="25" fillId="6" borderId="0" xfId="20" applyFont="1" applyFill="1" applyBorder="1" applyAlignment="1" applyProtection="1">
      <alignment/>
      <protection/>
    </xf>
    <xf numFmtId="165" fontId="14" fillId="6" borderId="0" xfId="20" applyFont="1" applyFill="1" applyBorder="1" applyAlignment="1" applyProtection="1">
      <alignment/>
      <protection/>
    </xf>
    <xf numFmtId="165" fontId="15" fillId="6" borderId="0" xfId="20" applyFont="1" applyFill="1" applyBorder="1" applyAlignment="1" applyProtection="1">
      <alignment/>
      <protection/>
    </xf>
    <xf numFmtId="164" fontId="14" fillId="6" borderId="0" xfId="0" applyFont="1" applyFill="1" applyAlignment="1" applyProtection="1">
      <alignment/>
      <protection/>
    </xf>
    <xf numFmtId="168" fontId="14" fillId="6" borderId="0" xfId="0" applyNumberFormat="1" applyFont="1" applyFill="1" applyAlignment="1" applyProtection="1">
      <alignment/>
      <protection/>
    </xf>
    <xf numFmtId="164" fontId="14" fillId="0" borderId="0" xfId="0" applyFont="1" applyFill="1" applyAlignment="1" applyProtection="1">
      <alignment/>
      <protection/>
    </xf>
    <xf numFmtId="164" fontId="14" fillId="6" borderId="8" xfId="0" applyFont="1" applyFill="1" applyBorder="1" applyAlignment="1" applyProtection="1">
      <alignment horizontal="center"/>
      <protection/>
    </xf>
    <xf numFmtId="168" fontId="14" fillId="6" borderId="8" xfId="0" applyNumberFormat="1" applyFont="1" applyFill="1" applyBorder="1" applyAlignment="1" applyProtection="1">
      <alignment horizontal="center"/>
      <protection/>
    </xf>
    <xf numFmtId="164" fontId="22" fillId="4" borderId="0" xfId="0" applyFont="1" applyFill="1" applyAlignment="1" applyProtection="1">
      <alignment/>
      <protection locked="0"/>
    </xf>
    <xf numFmtId="164" fontId="14" fillId="6" borderId="19" xfId="0" applyNumberFormat="1" applyFont="1" applyFill="1" applyBorder="1" applyAlignment="1" applyProtection="1">
      <alignment horizontal="center"/>
      <protection/>
    </xf>
    <xf numFmtId="164" fontId="8" fillId="6" borderId="1" xfId="0" applyFont="1" applyFill="1" applyBorder="1" applyAlignment="1" applyProtection="1">
      <alignment horizontal="center"/>
      <protection/>
    </xf>
    <xf numFmtId="164" fontId="14" fillId="6" borderId="16" xfId="0" applyNumberFormat="1" applyFont="1" applyFill="1" applyBorder="1" applyAlignment="1" applyProtection="1">
      <alignment horizontal="center"/>
      <protection/>
    </xf>
    <xf numFmtId="164" fontId="8" fillId="6" borderId="17" xfId="0" applyFont="1" applyFill="1" applyBorder="1" applyAlignment="1" applyProtection="1">
      <alignment horizontal="center"/>
      <protection/>
    </xf>
    <xf numFmtId="164" fontId="27" fillId="0" borderId="3" xfId="0" applyFont="1" applyFill="1" applyBorder="1" applyAlignment="1" applyProtection="1">
      <alignment horizontal="center"/>
      <protection/>
    </xf>
    <xf numFmtId="165" fontId="14" fillId="0" borderId="20" xfId="20" applyFont="1" applyFill="1" applyBorder="1" applyAlignment="1" applyProtection="1">
      <alignment horizontal="right"/>
      <protection/>
    </xf>
    <xf numFmtId="165" fontId="15" fillId="0" borderId="22" xfId="20" applyFont="1" applyFill="1" applyBorder="1" applyAlignment="1" applyProtection="1">
      <alignment horizontal="right"/>
      <protection/>
    </xf>
    <xf numFmtId="165" fontId="15" fillId="0" borderId="11" xfId="20" applyFont="1" applyFill="1" applyBorder="1" applyAlignment="1" applyProtection="1">
      <alignment horizontal="right"/>
      <protection/>
    </xf>
    <xf numFmtId="165" fontId="14" fillId="6" borderId="5" xfId="20" applyFont="1" applyFill="1" applyBorder="1" applyAlignment="1" applyProtection="1">
      <alignment horizontal="right"/>
      <protection/>
    </xf>
    <xf numFmtId="165" fontId="14" fillId="6" borderId="21" xfId="20" applyFont="1" applyFill="1" applyBorder="1" applyAlignment="1" applyProtection="1">
      <alignment horizontal="right"/>
      <protection/>
    </xf>
    <xf numFmtId="164" fontId="27" fillId="0" borderId="5" xfId="0" applyFont="1" applyFill="1" applyBorder="1" applyAlignment="1" applyProtection="1">
      <alignment horizontal="center"/>
      <protection/>
    </xf>
    <xf numFmtId="165" fontId="14" fillId="0" borderId="23" xfId="20" applyFont="1" applyFill="1" applyBorder="1" applyAlignment="1" applyProtection="1">
      <alignment horizontal="right"/>
      <protection/>
    </xf>
    <xf numFmtId="165" fontId="14" fillId="6" borderId="11" xfId="20" applyFont="1" applyFill="1" applyBorder="1" applyAlignment="1" applyProtection="1">
      <alignment horizontal="right"/>
      <protection/>
    </xf>
    <xf numFmtId="165" fontId="14" fillId="6" borderId="4" xfId="20" applyFont="1" applyFill="1" applyBorder="1" applyAlignment="1" applyProtection="1">
      <alignment horizontal="right"/>
      <protection/>
    </xf>
    <xf numFmtId="164" fontId="27" fillId="0" borderId="5" xfId="0" applyFont="1" applyFill="1" applyBorder="1" applyAlignment="1" applyProtection="1">
      <alignment/>
      <protection/>
    </xf>
    <xf numFmtId="165" fontId="14" fillId="5" borderId="20" xfId="20" applyFont="1" applyFill="1" applyBorder="1" applyAlignment="1" applyProtection="1">
      <alignment horizontal="right"/>
      <protection/>
    </xf>
    <xf numFmtId="165" fontId="14" fillId="5" borderId="5" xfId="20" applyFont="1" applyFill="1" applyBorder="1" applyAlignment="1" applyProtection="1">
      <alignment horizontal="right"/>
      <protection/>
    </xf>
    <xf numFmtId="165" fontId="14" fillId="5" borderId="21" xfId="20" applyFont="1" applyFill="1" applyBorder="1" applyAlignment="1" applyProtection="1">
      <alignment horizontal="right"/>
      <protection/>
    </xf>
    <xf numFmtId="165" fontId="14" fillId="5" borderId="0" xfId="20" applyFont="1" applyFill="1" applyBorder="1" applyAlignment="1" applyProtection="1">
      <alignment horizontal="right"/>
      <protection/>
    </xf>
    <xf numFmtId="165" fontId="14" fillId="5" borderId="4" xfId="20" applyFont="1" applyFill="1" applyBorder="1" applyAlignment="1" applyProtection="1">
      <alignment horizontal="right"/>
      <protection/>
    </xf>
    <xf numFmtId="164" fontId="14" fillId="0" borderId="5" xfId="0" applyFont="1" applyFill="1" applyBorder="1" applyAlignment="1" applyProtection="1">
      <alignment/>
      <protection/>
    </xf>
    <xf numFmtId="165" fontId="15" fillId="4" borderId="22" xfId="20" applyFont="1" applyFill="1" applyBorder="1" applyAlignment="1" applyProtection="1">
      <alignment horizontal="right"/>
      <protection locked="0"/>
    </xf>
    <xf numFmtId="165" fontId="15" fillId="4" borderId="11" xfId="20" applyFont="1" applyFill="1" applyBorder="1" applyAlignment="1" applyProtection="1">
      <alignment horizontal="right"/>
      <protection locked="0"/>
    </xf>
    <xf numFmtId="165" fontId="14" fillId="5" borderId="23" xfId="20" applyFont="1" applyFill="1" applyBorder="1" applyAlignment="1" applyProtection="1">
      <alignment horizontal="right"/>
      <protection/>
    </xf>
    <xf numFmtId="165" fontId="15" fillId="4" borderId="5" xfId="20" applyFont="1" applyFill="1" applyBorder="1" applyAlignment="1" applyProtection="1">
      <alignment horizontal="right"/>
      <protection locked="0"/>
    </xf>
    <xf numFmtId="165" fontId="15" fillId="4" borderId="4" xfId="20" applyFont="1" applyFill="1" applyBorder="1" applyAlignment="1" applyProtection="1">
      <alignment horizontal="right"/>
      <protection locked="0"/>
    </xf>
    <xf numFmtId="165" fontId="15" fillId="4" borderId="21" xfId="20" applyFont="1" applyFill="1" applyBorder="1" applyAlignment="1" applyProtection="1">
      <alignment horizontal="right"/>
      <protection locked="0"/>
    </xf>
    <xf numFmtId="169" fontId="14" fillId="6" borderId="0" xfId="0" applyNumberFormat="1" applyFont="1" applyFill="1" applyAlignment="1" applyProtection="1">
      <alignment horizontal="right"/>
      <protection/>
    </xf>
    <xf numFmtId="165" fontId="15" fillId="6" borderId="5" xfId="20" applyFont="1" applyFill="1" applyBorder="1" applyAlignment="1" applyProtection="1">
      <alignment horizontal="right"/>
      <protection/>
    </xf>
    <xf numFmtId="165" fontId="15" fillId="6" borderId="11" xfId="20" applyFont="1" applyFill="1" applyBorder="1" applyAlignment="1" applyProtection="1">
      <alignment horizontal="right"/>
      <protection/>
    </xf>
    <xf numFmtId="165" fontId="15" fillId="6" borderId="4" xfId="20" applyFont="1" applyFill="1" applyBorder="1" applyAlignment="1" applyProtection="1">
      <alignment horizontal="right"/>
      <protection/>
    </xf>
    <xf numFmtId="165" fontId="15" fillId="6" borderId="21" xfId="20" applyFont="1" applyFill="1" applyBorder="1" applyAlignment="1" applyProtection="1">
      <alignment horizontal="right"/>
      <protection/>
    </xf>
    <xf numFmtId="165" fontId="14" fillId="5" borderId="22" xfId="20" applyFont="1" applyFill="1" applyBorder="1" applyAlignment="1" applyProtection="1">
      <alignment horizontal="right"/>
      <protection/>
    </xf>
    <xf numFmtId="169" fontId="14" fillId="6" borderId="0" xfId="0" applyNumberFormat="1" applyFont="1" applyFill="1" applyBorder="1" applyAlignment="1" applyProtection="1">
      <alignment/>
      <protection/>
    </xf>
    <xf numFmtId="164" fontId="14" fillId="0" borderId="4" xfId="0" applyFont="1" applyFill="1" applyBorder="1" applyAlignment="1" applyProtection="1">
      <alignment/>
      <protection/>
    </xf>
    <xf numFmtId="169" fontId="14" fillId="6" borderId="0" xfId="0" applyNumberFormat="1" applyFont="1" applyFill="1" applyAlignment="1" applyProtection="1">
      <alignment/>
      <protection/>
    </xf>
    <xf numFmtId="165" fontId="15" fillId="0" borderId="5" xfId="20" applyFont="1" applyFill="1" applyBorder="1" applyAlignment="1" applyProtection="1">
      <alignment horizontal="right"/>
      <protection/>
    </xf>
    <xf numFmtId="165" fontId="15" fillId="0" borderId="4" xfId="20" applyFont="1" applyFill="1" applyBorder="1" applyAlignment="1" applyProtection="1">
      <alignment horizontal="right"/>
      <protection/>
    </xf>
    <xf numFmtId="165" fontId="14" fillId="5" borderId="11" xfId="20" applyFont="1" applyFill="1" applyBorder="1" applyAlignment="1" applyProtection="1">
      <alignment horizontal="right"/>
      <protection/>
    </xf>
    <xf numFmtId="165" fontId="14" fillId="6" borderId="20" xfId="20" applyFont="1" applyFill="1" applyBorder="1" applyAlignment="1" applyProtection="1">
      <alignment horizontal="right"/>
      <protection/>
    </xf>
    <xf numFmtId="165" fontId="15" fillId="6" borderId="22" xfId="20" applyFont="1" applyFill="1" applyBorder="1" applyAlignment="1" applyProtection="1">
      <alignment horizontal="right"/>
      <protection/>
    </xf>
    <xf numFmtId="165" fontId="15" fillId="0" borderId="21" xfId="20" applyFont="1" applyFill="1" applyBorder="1" applyAlignment="1" applyProtection="1">
      <alignment horizontal="right"/>
      <protection/>
    </xf>
    <xf numFmtId="165" fontId="15" fillId="0" borderId="0" xfId="20" applyFont="1" applyFill="1" applyBorder="1" applyAlignment="1" applyProtection="1">
      <alignment horizontal="right"/>
      <protection/>
    </xf>
    <xf numFmtId="170" fontId="14" fillId="5" borderId="5" xfId="20" applyNumberFormat="1" applyFont="1" applyFill="1" applyBorder="1" applyAlignment="1" applyProtection="1">
      <alignment horizontal="right"/>
      <protection/>
    </xf>
    <xf numFmtId="164" fontId="14" fillId="0" borderId="1" xfId="0" applyFont="1" applyFill="1" applyBorder="1" applyAlignment="1" applyProtection="1">
      <alignment horizontal="left"/>
      <protection/>
    </xf>
    <xf numFmtId="165" fontId="14" fillId="0" borderId="19" xfId="20" applyFont="1" applyFill="1" applyBorder="1" applyAlignment="1" applyProtection="1">
      <alignment horizontal="right"/>
      <protection/>
    </xf>
    <xf numFmtId="165" fontId="14" fillId="6" borderId="19" xfId="20" applyFont="1" applyFill="1" applyBorder="1" applyAlignment="1" applyProtection="1">
      <alignment horizontal="right"/>
      <protection/>
    </xf>
    <xf numFmtId="164" fontId="27" fillId="0" borderId="23" xfId="0" applyFont="1" applyFill="1" applyBorder="1" applyAlignment="1" applyProtection="1">
      <alignment horizontal="center"/>
      <protection/>
    </xf>
    <xf numFmtId="164" fontId="14" fillId="6" borderId="0" xfId="0" applyFont="1" applyFill="1" applyAlignment="1" applyProtection="1">
      <alignment horizontal="center"/>
      <protection/>
    </xf>
    <xf numFmtId="164" fontId="17" fillId="0" borderId="23" xfId="0" applyFont="1" applyFill="1" applyBorder="1" applyAlignment="1" applyProtection="1">
      <alignment horizontal="right"/>
      <protection/>
    </xf>
    <xf numFmtId="164" fontId="14" fillId="0" borderId="23" xfId="0" applyFont="1" applyFill="1" applyBorder="1" applyAlignment="1" applyProtection="1">
      <alignment/>
      <protection/>
    </xf>
    <xf numFmtId="164" fontId="14" fillId="0" borderId="23" xfId="0" applyFont="1" applyFill="1" applyBorder="1" applyAlignment="1" applyProtection="1">
      <alignment horizontal="left"/>
      <protection/>
    </xf>
    <xf numFmtId="165" fontId="14" fillId="0" borderId="5" xfId="20" applyFont="1" applyFill="1" applyBorder="1" applyAlignment="1" applyProtection="1">
      <alignment horizontal="right"/>
      <protection/>
    </xf>
    <xf numFmtId="165" fontId="14" fillId="0" borderId="21" xfId="20" applyFont="1" applyFill="1" applyBorder="1" applyAlignment="1" applyProtection="1">
      <alignment horizontal="right"/>
      <protection/>
    </xf>
    <xf numFmtId="164" fontId="14" fillId="0" borderId="1" xfId="0" applyFont="1" applyFill="1" applyBorder="1" applyAlignment="1" applyProtection="1">
      <alignment/>
      <protection/>
    </xf>
    <xf numFmtId="165" fontId="14" fillId="0" borderId="1" xfId="20" applyFont="1" applyFill="1" applyBorder="1" applyAlignment="1" applyProtection="1">
      <alignment horizontal="right"/>
      <protection/>
    </xf>
    <xf numFmtId="165" fontId="14" fillId="0" borderId="17" xfId="20" applyFont="1" applyFill="1" applyBorder="1" applyAlignment="1" applyProtection="1">
      <alignment horizontal="right"/>
      <protection/>
    </xf>
    <xf numFmtId="165" fontId="14" fillId="0" borderId="24" xfId="20" applyFont="1" applyFill="1" applyBorder="1" applyAlignment="1" applyProtection="1">
      <alignment horizontal="right"/>
      <protection/>
    </xf>
    <xf numFmtId="165" fontId="14" fillId="0" borderId="25" xfId="20" applyFont="1" applyFill="1" applyBorder="1" applyAlignment="1" applyProtection="1">
      <alignment horizontal="right"/>
      <protection/>
    </xf>
    <xf numFmtId="165" fontId="14" fillId="0" borderId="26" xfId="20" applyFont="1" applyFill="1" applyBorder="1" applyAlignment="1" applyProtection="1">
      <alignment horizontal="right"/>
      <protection/>
    </xf>
    <xf numFmtId="164" fontId="14" fillId="6" borderId="0" xfId="0" applyFont="1" applyFill="1" applyBorder="1" applyAlignment="1" applyProtection="1">
      <alignment/>
      <protection/>
    </xf>
    <xf numFmtId="164" fontId="27" fillId="6" borderId="0" xfId="0" applyFont="1" applyFill="1" applyAlignment="1" applyProtection="1">
      <alignment/>
      <protection/>
    </xf>
    <xf numFmtId="171" fontId="14" fillId="6" borderId="0" xfId="0" applyNumberFormat="1" applyFont="1" applyFill="1" applyBorder="1" applyAlignment="1" applyProtection="1">
      <alignment/>
      <protection/>
    </xf>
    <xf numFmtId="164" fontId="28" fillId="6" borderId="0" xfId="0" applyFont="1" applyFill="1" applyAlignment="1" applyProtection="1">
      <alignment/>
      <protection/>
    </xf>
    <xf numFmtId="172" fontId="22" fillId="6" borderId="0" xfId="0" applyNumberFormat="1" applyFont="1" applyFill="1" applyAlignment="1" applyProtection="1">
      <alignment/>
      <protection/>
    </xf>
    <xf numFmtId="171" fontId="22" fillId="6" borderId="0" xfId="0" applyNumberFormat="1" applyFont="1" applyFill="1" applyBorder="1" applyAlignment="1" applyProtection="1">
      <alignment/>
      <protection/>
    </xf>
    <xf numFmtId="164" fontId="22" fillId="6" borderId="0" xfId="0" applyFont="1" applyFill="1" applyAlignment="1" applyProtection="1">
      <alignment/>
      <protection/>
    </xf>
    <xf numFmtId="168" fontId="22" fillId="6" borderId="0" xfId="0" applyNumberFormat="1" applyFont="1" applyFill="1" applyAlignment="1" applyProtection="1">
      <alignment/>
      <protection/>
    </xf>
    <xf numFmtId="173" fontId="14" fillId="6" borderId="0" xfId="0" applyNumberFormat="1" applyFont="1" applyFill="1" applyBorder="1" applyAlignment="1" applyProtection="1">
      <alignment/>
      <protection/>
    </xf>
    <xf numFmtId="164" fontId="29" fillId="0" borderId="0" xfId="0" applyFont="1" applyAlignment="1" applyProtection="1">
      <alignment/>
      <protection/>
    </xf>
    <xf numFmtId="164" fontId="30" fillId="0" borderId="0" xfId="0" applyFont="1" applyAlignment="1" applyProtection="1">
      <alignment/>
      <protection/>
    </xf>
    <xf numFmtId="164" fontId="2" fillId="0" borderId="28" xfId="0" applyFont="1" applyBorder="1" applyAlignment="1" applyProtection="1">
      <alignment horizontal="center"/>
      <protection/>
    </xf>
    <xf numFmtId="164" fontId="2" fillId="0" borderId="0" xfId="0" applyFont="1" applyBorder="1" applyAlignment="1" applyProtection="1">
      <alignment horizontal="center"/>
      <protection/>
    </xf>
    <xf numFmtId="164" fontId="2" fillId="0" borderId="0" xfId="0" applyFont="1" applyAlignment="1" applyProtection="1">
      <alignment/>
      <protection/>
    </xf>
    <xf numFmtId="164" fontId="31" fillId="0" borderId="3" xfId="23" applyFont="1" applyBorder="1" applyAlignment="1" applyProtection="1">
      <alignment horizontal="center"/>
      <protection/>
    </xf>
    <xf numFmtId="174" fontId="32" fillId="0" borderId="0" xfId="22" applyNumberFormat="1" applyFont="1" applyAlignment="1" applyProtection="1">
      <alignment/>
      <protection/>
    </xf>
    <xf numFmtId="164" fontId="1" fillId="0" borderId="0" xfId="22" applyProtection="1">
      <alignment/>
      <protection/>
    </xf>
    <xf numFmtId="164" fontId="33" fillId="0" borderId="0" xfId="22" applyFont="1" applyProtection="1">
      <alignment/>
      <protection/>
    </xf>
    <xf numFmtId="164" fontId="2" fillId="0" borderId="0" xfId="0" applyFont="1" applyBorder="1" applyAlignment="1" applyProtection="1">
      <alignment/>
      <protection/>
    </xf>
    <xf numFmtId="164" fontId="29" fillId="0" borderId="0" xfId="0" applyFont="1" applyBorder="1" applyAlignment="1" applyProtection="1">
      <alignment/>
      <protection/>
    </xf>
    <xf numFmtId="164" fontId="30" fillId="0" borderId="0" xfId="0" applyFont="1" applyBorder="1" applyAlignment="1" applyProtection="1">
      <alignment/>
      <protection/>
    </xf>
    <xf numFmtId="164" fontId="29" fillId="6" borderId="0" xfId="0" applyFont="1" applyFill="1" applyAlignment="1" applyProtection="1">
      <alignment/>
      <protection/>
    </xf>
    <xf numFmtId="164" fontId="34" fillId="0" borderId="0" xfId="23" applyFont="1" applyProtection="1">
      <alignment/>
      <protection/>
    </xf>
    <xf numFmtId="164" fontId="35" fillId="4" borderId="0" xfId="23" applyFont="1" applyFill="1" applyProtection="1">
      <alignment/>
      <protection locked="0"/>
    </xf>
    <xf numFmtId="175" fontId="31" fillId="0" borderId="0" xfId="22" applyNumberFormat="1" applyFont="1" applyProtection="1">
      <alignment/>
      <protection/>
    </xf>
    <xf numFmtId="164" fontId="31" fillId="5" borderId="3" xfId="22" applyFont="1" applyFill="1" applyBorder="1" applyAlignment="1" applyProtection="1">
      <alignment horizontal="center"/>
      <protection/>
    </xf>
    <xf numFmtId="164" fontId="31" fillId="5" borderId="29" xfId="22" applyFont="1" applyFill="1" applyBorder="1" applyAlignment="1" applyProtection="1">
      <alignment horizontal="center"/>
      <protection/>
    </xf>
    <xf numFmtId="164" fontId="31" fillId="5" borderId="7" xfId="22" applyFont="1" applyFill="1" applyBorder="1" applyProtection="1">
      <alignment/>
      <protection/>
    </xf>
    <xf numFmtId="164" fontId="31" fillId="5" borderId="7" xfId="22" applyFont="1" applyFill="1" applyBorder="1" applyAlignment="1" applyProtection="1">
      <alignment horizontal="center"/>
      <protection/>
    </xf>
    <xf numFmtId="164" fontId="31" fillId="5" borderId="6" xfId="22" applyFont="1" applyFill="1" applyBorder="1" applyAlignment="1" applyProtection="1">
      <alignment horizontal="center"/>
      <protection/>
    </xf>
    <xf numFmtId="164" fontId="31" fillId="0" borderId="5" xfId="22" applyFont="1" applyBorder="1" applyProtection="1">
      <alignment/>
      <protection/>
    </xf>
    <xf numFmtId="176" fontId="36" fillId="4" borderId="5" xfId="22" applyNumberFormat="1" applyFont="1" applyFill="1" applyBorder="1" applyAlignment="1" applyProtection="1">
      <alignment horizontal="center"/>
      <protection locked="0"/>
    </xf>
    <xf numFmtId="176" fontId="36" fillId="4" borderId="4" xfId="22" applyNumberFormat="1" applyFont="1" applyFill="1" applyBorder="1" applyAlignment="1" applyProtection="1">
      <alignment horizontal="center"/>
      <protection locked="0"/>
    </xf>
    <xf numFmtId="176" fontId="36" fillId="5" borderId="4" xfId="22" applyNumberFormat="1" applyFont="1" applyFill="1" applyBorder="1" applyAlignment="1" applyProtection="1">
      <alignment horizontal="center"/>
      <protection/>
    </xf>
    <xf numFmtId="176" fontId="36" fillId="5" borderId="5" xfId="22" applyNumberFormat="1" applyFont="1" applyFill="1" applyBorder="1" applyAlignment="1" applyProtection="1">
      <alignment horizontal="center"/>
      <protection/>
    </xf>
    <xf numFmtId="177" fontId="30" fillId="0" borderId="0" xfId="0" applyNumberFormat="1" applyFont="1" applyAlignment="1" applyProtection="1">
      <alignment/>
      <protection/>
    </xf>
    <xf numFmtId="164" fontId="31" fillId="0" borderId="5" xfId="22" applyFont="1" applyBorder="1" applyAlignment="1" applyProtection="1">
      <alignment horizontal="left"/>
      <protection/>
    </xf>
    <xf numFmtId="176" fontId="37" fillId="6" borderId="5" xfId="22" applyNumberFormat="1" applyFont="1" applyFill="1" applyBorder="1" applyAlignment="1" applyProtection="1">
      <alignment horizontal="center"/>
      <protection/>
    </xf>
    <xf numFmtId="172" fontId="31" fillId="0" borderId="5" xfId="21" applyNumberFormat="1" applyFont="1" applyBorder="1" applyProtection="1">
      <alignment/>
      <protection/>
    </xf>
    <xf numFmtId="164" fontId="31" fillId="5" borderId="1" xfId="22" applyFont="1" applyFill="1" applyBorder="1" applyProtection="1">
      <alignment/>
      <protection/>
    </xf>
    <xf numFmtId="176" fontId="36" fillId="5" borderId="1" xfId="22" applyNumberFormat="1" applyFont="1" applyFill="1" applyBorder="1" applyAlignment="1" applyProtection="1">
      <alignment horizontal="center"/>
      <protection/>
    </xf>
    <xf numFmtId="176" fontId="38" fillId="5" borderId="1" xfId="22" applyNumberFormat="1" applyFont="1" applyFill="1" applyBorder="1" applyAlignment="1" applyProtection="1">
      <alignment horizontal="center"/>
      <protection/>
    </xf>
    <xf numFmtId="176" fontId="2" fillId="0" borderId="0" xfId="0" applyNumberFormat="1" applyFont="1" applyAlignment="1" applyProtection="1">
      <alignment/>
      <protection/>
    </xf>
    <xf numFmtId="176" fontId="2" fillId="0" borderId="0" xfId="22" applyNumberFormat="1" applyFont="1" applyAlignment="1" applyProtection="1">
      <alignment horizontal="center"/>
      <protection/>
    </xf>
    <xf numFmtId="176" fontId="31" fillId="0" borderId="0" xfId="22" applyNumberFormat="1" applyFont="1" applyProtection="1">
      <alignment/>
      <protection/>
    </xf>
    <xf numFmtId="176" fontId="39" fillId="0" borderId="0" xfId="22" applyNumberFormat="1" applyFont="1" applyProtection="1">
      <alignment/>
      <protection/>
    </xf>
    <xf numFmtId="176" fontId="40" fillId="0" borderId="0" xfId="0" applyNumberFormat="1" applyFont="1" applyAlignment="1" applyProtection="1">
      <alignment/>
      <protection/>
    </xf>
    <xf numFmtId="176" fontId="41" fillId="0" borderId="0" xfId="0" applyNumberFormat="1" applyFont="1" applyAlignment="1" applyProtection="1">
      <alignment/>
      <protection/>
    </xf>
    <xf numFmtId="176" fontId="42" fillId="0" borderId="0" xfId="0" applyNumberFormat="1" applyFont="1" applyAlignment="1" applyProtection="1">
      <alignment/>
      <protection/>
    </xf>
    <xf numFmtId="176" fontId="2" fillId="0" borderId="0" xfId="0" applyNumberFormat="1" applyFont="1" applyAlignment="1" applyProtection="1">
      <alignment horizontal="right"/>
      <protection/>
    </xf>
    <xf numFmtId="164" fontId="40" fillId="0" borderId="0" xfId="0" applyFont="1" applyAlignment="1" applyProtection="1">
      <alignment/>
      <protection/>
    </xf>
    <xf numFmtId="164" fontId="2" fillId="0" borderId="0" xfId="0" applyFont="1" applyAlignment="1" applyProtection="1">
      <alignment horizontal="right"/>
      <protection/>
    </xf>
    <xf numFmtId="164" fontId="39" fillId="5" borderId="3" xfId="22" applyFont="1" applyFill="1" applyBorder="1" applyAlignment="1" applyProtection="1">
      <alignment horizontal="center"/>
      <protection/>
    </xf>
    <xf numFmtId="164" fontId="39" fillId="5" borderId="6" xfId="22" applyFont="1" applyFill="1" applyBorder="1" applyAlignment="1" applyProtection="1">
      <alignment horizontal="center"/>
      <protection/>
    </xf>
    <xf numFmtId="176" fontId="31" fillId="0" borderId="5" xfId="22" applyNumberFormat="1" applyFont="1" applyBorder="1" applyAlignment="1" applyProtection="1">
      <alignment horizontal="left"/>
      <protection/>
    </xf>
    <xf numFmtId="176" fontId="35" fillId="4" borderId="4" xfId="22" applyNumberFormat="1" applyFont="1" applyFill="1" applyBorder="1" applyAlignment="1" applyProtection="1">
      <alignment horizontal="center"/>
      <protection locked="0"/>
    </xf>
    <xf numFmtId="176" fontId="36" fillId="0" borderId="5" xfId="22" applyNumberFormat="1" applyFont="1" applyFill="1" applyBorder="1" applyAlignment="1" applyProtection="1">
      <alignment horizontal="center"/>
      <protection/>
    </xf>
    <xf numFmtId="176" fontId="31" fillId="0" borderId="5" xfId="21" applyNumberFormat="1" applyFont="1" applyBorder="1" applyAlignment="1" applyProtection="1">
      <alignment horizontal="left"/>
      <protection/>
    </xf>
    <xf numFmtId="176" fontId="31" fillId="5" borderId="1" xfId="22" applyNumberFormat="1" applyFont="1" applyFill="1" applyBorder="1" applyAlignment="1" applyProtection="1">
      <alignment horizontal="center"/>
      <protection/>
    </xf>
    <xf numFmtId="176" fontId="35" fillId="5" borderId="1" xfId="22" applyNumberFormat="1" applyFont="1" applyFill="1" applyBorder="1" applyAlignment="1" applyProtection="1">
      <alignment horizontal="center"/>
      <protection/>
    </xf>
    <xf numFmtId="164" fontId="41" fillId="0" borderId="0" xfId="0" applyFont="1" applyAlignment="1" applyProtection="1">
      <alignment/>
      <protection/>
    </xf>
    <xf numFmtId="164" fontId="42" fillId="0" borderId="0" xfId="0" applyFont="1" applyAlignment="1" applyProtection="1">
      <alignment/>
      <protection/>
    </xf>
    <xf numFmtId="176" fontId="36" fillId="5" borderId="4" xfId="22" applyNumberFormat="1" applyFont="1" applyFill="1" applyBorder="1" applyProtection="1">
      <alignment/>
      <protection/>
    </xf>
    <xf numFmtId="176" fontId="36" fillId="5" borderId="5" xfId="22" applyNumberFormat="1" applyFont="1" applyFill="1" applyBorder="1" applyProtection="1">
      <alignment/>
      <protection/>
    </xf>
    <xf numFmtId="176" fontId="36" fillId="6" borderId="5" xfId="22" applyNumberFormat="1" applyFont="1" applyFill="1" applyBorder="1" applyProtection="1">
      <alignment/>
      <protection/>
    </xf>
    <xf numFmtId="176" fontId="29" fillId="0" borderId="0" xfId="0" applyNumberFormat="1" applyFont="1" applyAlignment="1" applyProtection="1">
      <alignment/>
      <protection/>
    </xf>
    <xf numFmtId="168" fontId="40" fillId="0" borderId="0" xfId="0" applyNumberFormat="1" applyFont="1" applyAlignment="1" applyProtection="1">
      <alignment/>
      <protection/>
    </xf>
    <xf numFmtId="164" fontId="40" fillId="0" borderId="0" xfId="0" applyFont="1" applyAlignment="1" applyProtection="1">
      <alignment horizontal="center"/>
      <protection/>
    </xf>
    <xf numFmtId="168" fontId="2" fillId="0" borderId="0" xfId="0" applyNumberFormat="1" applyFont="1" applyAlignment="1" applyProtection="1">
      <alignment/>
      <protection/>
    </xf>
    <xf numFmtId="164" fontId="8" fillId="6" borderId="0" xfId="0" applyFont="1" applyFill="1" applyBorder="1" applyAlignment="1" applyProtection="1">
      <alignment/>
      <protection/>
    </xf>
    <xf numFmtId="164" fontId="8" fillId="6" borderId="30" xfId="0" applyFont="1" applyFill="1" applyBorder="1" applyAlignment="1" applyProtection="1">
      <alignment horizontal="center"/>
      <protection/>
    </xf>
    <xf numFmtId="164" fontId="8" fillId="6" borderId="31" xfId="0" applyFont="1" applyFill="1" applyBorder="1" applyAlignment="1" applyProtection="1">
      <alignment horizontal="center"/>
      <protection/>
    </xf>
    <xf numFmtId="164" fontId="8" fillId="6" borderId="32" xfId="0" applyFont="1" applyFill="1" applyBorder="1" applyAlignment="1" applyProtection="1">
      <alignment horizontal="center"/>
      <protection/>
    </xf>
    <xf numFmtId="164" fontId="8" fillId="6" borderId="33" xfId="0" applyFont="1" applyFill="1" applyBorder="1" applyAlignment="1" applyProtection="1">
      <alignment horizontal="center"/>
      <protection/>
    </xf>
    <xf numFmtId="167" fontId="8" fillId="0" borderId="5" xfId="20" applyNumberFormat="1" applyFont="1" applyFill="1" applyBorder="1" applyAlignment="1" applyProtection="1">
      <alignment/>
      <protection/>
    </xf>
    <xf numFmtId="167" fontId="8" fillId="0" borderId="22" xfId="20" applyNumberFormat="1" applyFont="1" applyFill="1" applyBorder="1" applyAlignment="1" applyProtection="1">
      <alignment/>
      <protection/>
    </xf>
    <xf numFmtId="167" fontId="8" fillId="0" borderId="4" xfId="20" applyNumberFormat="1" applyFont="1" applyFill="1" applyBorder="1" applyAlignment="1" applyProtection="1">
      <alignment/>
      <protection/>
    </xf>
    <xf numFmtId="167" fontId="8" fillId="0" borderId="34" xfId="20" applyNumberFormat="1" applyFont="1" applyFill="1" applyBorder="1" applyAlignment="1" applyProtection="1">
      <alignment/>
      <protection/>
    </xf>
    <xf numFmtId="164" fontId="18" fillId="6" borderId="20" xfId="0" applyFont="1" applyFill="1" applyBorder="1" applyAlignment="1" applyProtection="1">
      <alignment horizontal="left"/>
      <protection/>
    </xf>
    <xf numFmtId="164" fontId="8" fillId="6" borderId="20" xfId="0" applyFont="1" applyFill="1" applyBorder="1" applyAlignment="1" applyProtection="1">
      <alignment horizontal="left"/>
      <protection/>
    </xf>
    <xf numFmtId="167" fontId="8" fillId="5" borderId="34" xfId="20" applyNumberFormat="1" applyFont="1" applyFill="1" applyBorder="1" applyAlignment="1" applyProtection="1">
      <alignment/>
      <protection/>
    </xf>
    <xf numFmtId="164" fontId="8" fillId="6" borderId="5" xfId="0" applyFont="1" applyFill="1" applyBorder="1" applyAlignment="1" applyProtection="1">
      <alignment/>
      <protection/>
    </xf>
    <xf numFmtId="164" fontId="8" fillId="6" borderId="23" xfId="0" applyFont="1" applyFill="1" applyBorder="1" applyAlignment="1" applyProtection="1">
      <alignment horizontal="left"/>
      <protection/>
    </xf>
    <xf numFmtId="167" fontId="8" fillId="0" borderId="5" xfId="20" applyNumberFormat="1" applyFont="1" applyFill="1" applyBorder="1" applyAlignment="1" applyProtection="1">
      <alignment horizontal="center"/>
      <protection/>
    </xf>
    <xf numFmtId="164" fontId="18" fillId="6" borderId="23" xfId="0" applyFont="1" applyFill="1" applyBorder="1" applyAlignment="1" applyProtection="1">
      <alignment horizontal="left"/>
      <protection/>
    </xf>
    <xf numFmtId="164" fontId="8" fillId="6" borderId="22" xfId="0" applyFont="1" applyFill="1" applyBorder="1" applyAlignment="1" applyProtection="1">
      <alignment horizontal="left"/>
      <protection/>
    </xf>
    <xf numFmtId="167" fontId="8" fillId="0" borderId="22" xfId="20" applyNumberFormat="1" applyFont="1" applyFill="1" applyBorder="1" applyAlignment="1" applyProtection="1">
      <alignment horizontal="center"/>
      <protection/>
    </xf>
    <xf numFmtId="167" fontId="8" fillId="5" borderId="5" xfId="20" applyNumberFormat="1" applyFont="1" applyFill="1" applyBorder="1" applyAlignment="1" applyProtection="1">
      <alignment horizontal="center"/>
      <protection/>
    </xf>
    <xf numFmtId="167" fontId="8" fillId="5" borderId="22" xfId="20" applyNumberFormat="1" applyFont="1" applyFill="1" applyBorder="1" applyAlignment="1" applyProtection="1">
      <alignment horizontal="center"/>
      <protection/>
    </xf>
    <xf numFmtId="167" fontId="8" fillId="5" borderId="5" xfId="20" applyNumberFormat="1" applyFont="1" applyFill="1" applyBorder="1" applyAlignment="1" applyProtection="1">
      <alignment/>
      <protection/>
    </xf>
    <xf numFmtId="164" fontId="8" fillId="0" borderId="35" xfId="0" applyFont="1" applyFill="1" applyBorder="1" applyAlignment="1" applyProtection="1">
      <alignment horizontal="left"/>
      <protection/>
    </xf>
    <xf numFmtId="167" fontId="8" fillId="5" borderId="36" xfId="20" applyNumberFormat="1" applyFont="1" applyFill="1" applyBorder="1" applyAlignment="1" applyProtection="1">
      <alignment/>
      <protection/>
    </xf>
    <xf numFmtId="167" fontId="8" fillId="5" borderId="22" xfId="20" applyNumberFormat="1" applyFont="1" applyFill="1" applyBorder="1" applyAlignment="1" applyProtection="1">
      <alignment/>
      <protection/>
    </xf>
    <xf numFmtId="178" fontId="8" fillId="6" borderId="0" xfId="0" applyNumberFormat="1" applyFont="1" applyFill="1" applyBorder="1" applyAlignment="1" applyProtection="1">
      <alignment/>
      <protection/>
    </xf>
    <xf numFmtId="164" fontId="8" fillId="6" borderId="0" xfId="0" applyFont="1" applyFill="1" applyBorder="1" applyAlignment="1" applyProtection="1">
      <alignment horizontal="center"/>
      <protection/>
    </xf>
    <xf numFmtId="164" fontId="8" fillId="6" borderId="37" xfId="0" applyFont="1" applyFill="1" applyBorder="1" applyAlignment="1" applyProtection="1">
      <alignment horizontal="left"/>
      <protection/>
    </xf>
    <xf numFmtId="179" fontId="8" fillId="5" borderId="31" xfId="0" applyNumberFormat="1" applyFont="1" applyFill="1" applyBorder="1" applyAlignment="1" applyProtection="1">
      <alignment/>
      <protection/>
    </xf>
    <xf numFmtId="168" fontId="8" fillId="5" borderId="38" xfId="0" applyNumberFormat="1" applyFont="1" applyFill="1" applyBorder="1" applyAlignment="1" applyProtection="1">
      <alignment/>
      <protection/>
    </xf>
    <xf numFmtId="164" fontId="8" fillId="6" borderId="0" xfId="0" applyFont="1" applyFill="1" applyBorder="1" applyAlignment="1" applyProtection="1">
      <alignment horizontal="left"/>
      <protection/>
    </xf>
    <xf numFmtId="172" fontId="8" fillId="6" borderId="5" xfId="0" applyNumberFormat="1" applyFont="1" applyFill="1" applyBorder="1" applyAlignment="1" applyProtection="1">
      <alignment/>
      <protection/>
    </xf>
    <xf numFmtId="172" fontId="8" fillId="6" borderId="4" xfId="0" applyNumberFormat="1" applyFont="1" applyFill="1" applyBorder="1" applyAlignment="1" applyProtection="1">
      <alignment/>
      <protection/>
    </xf>
    <xf numFmtId="168" fontId="8" fillId="0" borderId="34" xfId="0" applyNumberFormat="1" applyFont="1" applyFill="1" applyBorder="1" applyAlignment="1" applyProtection="1">
      <alignment/>
      <protection/>
    </xf>
    <xf numFmtId="164" fontId="8" fillId="6" borderId="39" xfId="0" applyFont="1" applyFill="1" applyBorder="1" applyAlignment="1" applyProtection="1">
      <alignment horizontal="center"/>
      <protection/>
    </xf>
    <xf numFmtId="164" fontId="18" fillId="0" borderId="23" xfId="0" applyFont="1" applyFill="1" applyBorder="1" applyAlignment="1" applyProtection="1">
      <alignment horizontal="left"/>
      <protection/>
    </xf>
    <xf numFmtId="164" fontId="8" fillId="0" borderId="23" xfId="0" applyFont="1" applyFill="1" applyBorder="1" applyAlignment="1" applyProtection="1">
      <alignment horizontal="left"/>
      <protection/>
    </xf>
    <xf numFmtId="164" fontId="8" fillId="0" borderId="20" xfId="0" applyFont="1" applyFill="1" applyBorder="1" applyAlignment="1" applyProtection="1">
      <alignment horizontal="left"/>
      <protection/>
    </xf>
    <xf numFmtId="172" fontId="8" fillId="6" borderId="0" xfId="0" applyNumberFormat="1" applyFont="1" applyFill="1" applyBorder="1" applyAlignment="1" applyProtection="1">
      <alignment horizontal="center"/>
      <protection/>
    </xf>
    <xf numFmtId="164" fontId="8" fillId="6" borderId="1" xfId="0" applyFont="1" applyFill="1" applyBorder="1" applyAlignment="1" applyProtection="1">
      <alignment horizontal="left"/>
      <protection/>
    </xf>
    <xf numFmtId="167" fontId="8" fillId="5" borderId="1" xfId="20" applyNumberFormat="1" applyFont="1" applyFill="1" applyBorder="1" applyAlignment="1" applyProtection="1">
      <alignment/>
      <protection/>
    </xf>
    <xf numFmtId="168" fontId="8" fillId="5" borderId="40" xfId="0" applyNumberFormat="1" applyFont="1" applyFill="1" applyBorder="1" applyAlignment="1" applyProtection="1">
      <alignment/>
      <protection/>
    </xf>
    <xf numFmtId="168" fontId="8" fillId="6" borderId="0" xfId="0" applyNumberFormat="1" applyFont="1" applyFill="1" applyBorder="1" applyAlignment="1" applyProtection="1">
      <alignment/>
      <protection/>
    </xf>
    <xf numFmtId="168" fontId="8" fillId="0" borderId="41" xfId="0" applyNumberFormat="1" applyFont="1" applyFill="1" applyBorder="1" applyAlignment="1" applyProtection="1">
      <alignment/>
      <protection/>
    </xf>
    <xf numFmtId="164" fontId="8" fillId="6" borderId="0" xfId="0" applyFont="1" applyFill="1" applyBorder="1" applyAlignment="1" applyProtection="1">
      <alignment/>
      <protection/>
    </xf>
    <xf numFmtId="169" fontId="8" fillId="6" borderId="0" xfId="0" applyNumberFormat="1" applyFont="1" applyFill="1" applyBorder="1" applyAlignment="1" applyProtection="1">
      <alignment/>
      <protection/>
    </xf>
    <xf numFmtId="177" fontId="8" fillId="6" borderId="0" xfId="0" applyNumberFormat="1" applyFont="1" applyFill="1" applyBorder="1" applyAlignment="1" applyProtection="1">
      <alignment/>
      <protection/>
    </xf>
    <xf numFmtId="180" fontId="8" fillId="6" borderId="0" xfId="0" applyNumberFormat="1" applyFont="1" applyFill="1" applyBorder="1" applyAlignment="1" applyProtection="1">
      <alignment/>
      <protection/>
    </xf>
    <xf numFmtId="176" fontId="8" fillId="6" borderId="0" xfId="0" applyNumberFormat="1" applyFont="1" applyFill="1" applyBorder="1" applyAlignment="1" applyProtection="1">
      <alignment/>
      <protection/>
    </xf>
    <xf numFmtId="164" fontId="0" fillId="6" borderId="0" xfId="0" applyFill="1" applyAlignment="1" applyProtection="1">
      <alignment/>
      <protection/>
    </xf>
    <xf numFmtId="164" fontId="43" fillId="6" borderId="0" xfId="0" applyFont="1" applyFill="1" applyAlignment="1" applyProtection="1">
      <alignment/>
      <protection/>
    </xf>
    <xf numFmtId="164" fontId="6" fillId="6" borderId="37" xfId="0" applyFont="1" applyFill="1" applyBorder="1" applyAlignment="1" applyProtection="1">
      <alignment horizontal="center"/>
      <protection/>
    </xf>
    <xf numFmtId="164" fontId="6" fillId="6" borderId="40" xfId="0" applyFont="1" applyFill="1" applyBorder="1" applyAlignment="1" applyProtection="1">
      <alignment horizontal="center"/>
      <protection/>
    </xf>
    <xf numFmtId="164" fontId="6" fillId="6" borderId="38" xfId="0" applyFont="1" applyFill="1" applyBorder="1" applyAlignment="1" applyProtection="1">
      <alignment horizontal="center"/>
      <protection/>
    </xf>
    <xf numFmtId="174" fontId="0" fillId="6" borderId="0" xfId="0" applyNumberFormat="1" applyFill="1" applyAlignment="1" applyProtection="1">
      <alignment/>
      <protection/>
    </xf>
    <xf numFmtId="174" fontId="6" fillId="6" borderId="37" xfId="0" applyNumberFormat="1" applyFont="1" applyFill="1" applyBorder="1" applyAlignment="1" applyProtection="1">
      <alignment horizontal="center"/>
      <protection/>
    </xf>
    <xf numFmtId="174" fontId="6" fillId="6" borderId="40" xfId="0" applyNumberFormat="1" applyFont="1" applyFill="1" applyBorder="1" applyAlignment="1" applyProtection="1">
      <alignment horizontal="center"/>
      <protection/>
    </xf>
    <xf numFmtId="171" fontId="0" fillId="4" borderId="38" xfId="0" applyNumberFormat="1" applyFill="1" applyBorder="1" applyAlignment="1" applyProtection="1">
      <alignment horizontal="center"/>
      <protection locked="0"/>
    </xf>
    <xf numFmtId="169" fontId="0" fillId="4" borderId="38" xfId="0" applyNumberFormat="1" applyFill="1" applyBorder="1" applyAlignment="1" applyProtection="1">
      <alignment horizontal="center"/>
      <protection locked="0"/>
    </xf>
    <xf numFmtId="174" fontId="0" fillId="6" borderId="38" xfId="0" applyNumberFormat="1" applyFill="1" applyBorder="1" applyAlignment="1" applyProtection="1">
      <alignment horizontal="center"/>
      <protection/>
    </xf>
    <xf numFmtId="164" fontId="6" fillId="6" borderId="42" xfId="0" applyFont="1" applyFill="1" applyBorder="1" applyAlignment="1" applyProtection="1">
      <alignment horizontal="center"/>
      <protection/>
    </xf>
    <xf numFmtId="174" fontId="6" fillId="6" borderId="43" xfId="0" applyNumberFormat="1" applyFont="1" applyFill="1" applyBorder="1" applyAlignment="1" applyProtection="1">
      <alignment horizontal="center"/>
      <protection/>
    </xf>
    <xf numFmtId="174" fontId="0" fillId="6" borderId="0" xfId="0" applyNumberFormat="1" applyFill="1" applyAlignment="1" applyProtection="1">
      <alignment horizontal="center"/>
      <protection/>
    </xf>
    <xf numFmtId="164" fontId="0" fillId="6" borderId="44" xfId="0" applyFill="1" applyBorder="1" applyAlignment="1" applyProtection="1">
      <alignment horizontal="center"/>
      <protection/>
    </xf>
    <xf numFmtId="174" fontId="0" fillId="6" borderId="45" xfId="0" applyNumberFormat="1" applyFill="1" applyBorder="1" applyAlignment="1" applyProtection="1">
      <alignment horizontal="center"/>
      <protection/>
    </xf>
    <xf numFmtId="174" fontId="0" fillId="6" borderId="0" xfId="0" applyNumberFormat="1" applyFill="1" applyBorder="1" applyAlignment="1" applyProtection="1">
      <alignment horizontal="center"/>
      <protection/>
    </xf>
    <xf numFmtId="174" fontId="0" fillId="6" borderId="46" xfId="0" applyNumberFormat="1" applyFill="1" applyBorder="1" applyAlignment="1" applyProtection="1">
      <alignment horizontal="center"/>
      <protection/>
    </xf>
    <xf numFmtId="174" fontId="0" fillId="6" borderId="47" xfId="0" applyNumberFormat="1" applyFill="1" applyBorder="1" applyAlignment="1" applyProtection="1">
      <alignment horizontal="center"/>
      <protection/>
    </xf>
    <xf numFmtId="164" fontId="0" fillId="6" borderId="48" xfId="0" applyFill="1" applyBorder="1" applyAlignment="1" applyProtection="1">
      <alignment horizontal="center"/>
      <protection/>
    </xf>
    <xf numFmtId="174" fontId="0" fillId="6" borderId="49" xfId="0" applyNumberFormat="1" applyFill="1" applyBorder="1" applyAlignment="1" applyProtection="1">
      <alignment horizontal="center"/>
      <protection/>
    </xf>
    <xf numFmtId="174" fontId="0" fillId="6" borderId="50" xfId="0" applyNumberFormat="1" applyFill="1" applyBorder="1" applyAlignment="1" applyProtection="1">
      <alignment horizontal="center"/>
      <protection/>
    </xf>
    <xf numFmtId="174" fontId="0" fillId="6" borderId="51" xfId="0" applyNumberFormat="1" applyFill="1" applyBorder="1" applyAlignment="1" applyProtection="1">
      <alignment horizontal="center"/>
      <protection/>
    </xf>
    <xf numFmtId="164" fontId="0" fillId="6" borderId="52" xfId="0" applyFill="1" applyBorder="1" applyAlignment="1" applyProtection="1">
      <alignment horizontal="center"/>
      <protection/>
    </xf>
    <xf numFmtId="174" fontId="0" fillId="6" borderId="53" xfId="0" applyNumberFormat="1" applyFill="1" applyBorder="1" applyAlignment="1" applyProtection="1">
      <alignment horizontal="center"/>
      <protection/>
    </xf>
    <xf numFmtId="174" fontId="0" fillId="6" borderId="54" xfId="0" applyNumberFormat="1" applyFill="1" applyBorder="1" applyAlignment="1" applyProtection="1">
      <alignment horizontal="center"/>
      <protection/>
    </xf>
    <xf numFmtId="164" fontId="0" fillId="6" borderId="0" xfId="0" applyFill="1" applyBorder="1" applyAlignment="1" applyProtection="1">
      <alignment horizontal="center"/>
      <protection/>
    </xf>
    <xf numFmtId="164" fontId="6" fillId="6" borderId="38" xfId="0" applyFont="1" applyFill="1" applyBorder="1" applyAlignment="1" applyProtection="1">
      <alignment/>
      <protection/>
    </xf>
    <xf numFmtId="174" fontId="0" fillId="6" borderId="12" xfId="0" applyNumberFormat="1" applyFill="1" applyBorder="1" applyAlignment="1" applyProtection="1">
      <alignment horizontal="center"/>
      <protection/>
    </xf>
    <xf numFmtId="174" fontId="0" fillId="6" borderId="7" xfId="0" applyNumberFormat="1" applyFill="1" applyBorder="1" applyAlignment="1" applyProtection="1">
      <alignment horizontal="center"/>
      <protection/>
    </xf>
    <xf numFmtId="174" fontId="0" fillId="6" borderId="18" xfId="0" applyNumberFormat="1" applyFill="1" applyBorder="1" applyAlignment="1" applyProtection="1">
      <alignment horizontal="center"/>
      <protection/>
    </xf>
    <xf numFmtId="174" fontId="0" fillId="6" borderId="1" xfId="0" applyNumberFormat="1" applyFill="1" applyBorder="1" applyAlignment="1" applyProtection="1">
      <alignment horizontal="center"/>
      <protection/>
    </xf>
    <xf numFmtId="164" fontId="2" fillId="3" borderId="38" xfId="0" applyFont="1" applyFill="1" applyBorder="1" applyAlignment="1" applyProtection="1">
      <alignment horizontal="center"/>
      <protection/>
    </xf>
    <xf numFmtId="164" fontId="2" fillId="3" borderId="38" xfId="0" applyFont="1" applyFill="1" applyBorder="1" applyAlignment="1" applyProtection="1">
      <alignment/>
      <protection/>
    </xf>
    <xf numFmtId="174" fontId="29" fillId="3" borderId="12" xfId="0" applyNumberFormat="1" applyFont="1" applyFill="1" applyBorder="1" applyAlignment="1" applyProtection="1">
      <alignment horizontal="center"/>
      <protection/>
    </xf>
    <xf numFmtId="174" fontId="29" fillId="3" borderId="18" xfId="0" applyNumberFormat="1" applyFont="1" applyFill="1" applyBorder="1" applyAlignment="1" applyProtection="1">
      <alignment horizontal="center"/>
      <protection/>
    </xf>
    <xf numFmtId="164" fontId="44" fillId="0" borderId="0" xfId="0" applyFont="1" applyAlignment="1">
      <alignment/>
    </xf>
    <xf numFmtId="164" fontId="44" fillId="6" borderId="0" xfId="0" applyFont="1" applyFill="1" applyBorder="1" applyAlignment="1" applyProtection="1">
      <alignment/>
      <protection/>
    </xf>
    <xf numFmtId="164" fontId="44" fillId="6" borderId="0" xfId="0" applyFont="1" applyFill="1" applyBorder="1" applyAlignment="1">
      <alignment/>
    </xf>
    <xf numFmtId="164" fontId="45" fillId="6" borderId="0" xfId="0" applyFont="1" applyFill="1" applyBorder="1" applyAlignment="1" applyProtection="1">
      <alignment horizontal="center"/>
      <protection/>
    </xf>
    <xf numFmtId="164" fontId="45" fillId="6" borderId="0" xfId="0" applyFont="1" applyFill="1" applyBorder="1" applyAlignment="1">
      <alignment/>
    </xf>
    <xf numFmtId="164" fontId="44" fillId="6" borderId="0" xfId="0" applyFont="1" applyFill="1" applyBorder="1" applyAlignment="1" applyProtection="1">
      <alignment horizontal="center"/>
      <protection/>
    </xf>
    <xf numFmtId="164" fontId="46" fillId="6" borderId="3" xfId="0" applyFont="1" applyFill="1" applyBorder="1" applyAlignment="1" applyProtection="1">
      <alignment horizontal="center"/>
      <protection/>
    </xf>
    <xf numFmtId="164" fontId="46" fillId="6" borderId="55" xfId="0" applyFont="1" applyFill="1" applyBorder="1" applyAlignment="1" applyProtection="1">
      <alignment horizontal="center"/>
      <protection/>
    </xf>
    <xf numFmtId="164" fontId="46" fillId="6" borderId="56" xfId="0" applyFont="1" applyFill="1" applyBorder="1" applyAlignment="1" applyProtection="1">
      <alignment horizontal="center"/>
      <protection/>
    </xf>
    <xf numFmtId="164" fontId="46" fillId="6" borderId="33" xfId="0" applyFont="1" applyFill="1" applyBorder="1" applyAlignment="1" applyProtection="1">
      <alignment horizontal="center"/>
      <protection/>
    </xf>
    <xf numFmtId="164" fontId="44" fillId="6" borderId="3" xfId="0" applyFont="1" applyFill="1" applyBorder="1" applyAlignment="1" applyProtection="1">
      <alignment horizontal="center"/>
      <protection/>
    </xf>
    <xf numFmtId="165" fontId="47" fillId="0" borderId="3" xfId="20" applyNumberFormat="1" applyFont="1" applyFill="1" applyBorder="1" applyAlignment="1" applyProtection="1">
      <alignment horizontal="center"/>
      <protection/>
    </xf>
    <xf numFmtId="164" fontId="44" fillId="4" borderId="3" xfId="0" applyFont="1" applyFill="1" applyBorder="1" applyAlignment="1" applyProtection="1">
      <alignment horizontal="center"/>
      <protection/>
    </xf>
    <xf numFmtId="165" fontId="44" fillId="6" borderId="3" xfId="20" applyNumberFormat="1" applyFont="1" applyFill="1" applyBorder="1" applyAlignment="1" applyProtection="1">
      <alignment horizontal="center"/>
      <protection/>
    </xf>
    <xf numFmtId="164" fontId="44" fillId="6" borderId="5" xfId="0" applyFont="1" applyFill="1" applyBorder="1" applyAlignment="1" applyProtection="1">
      <alignment horizontal="center"/>
      <protection/>
    </xf>
    <xf numFmtId="165" fontId="47" fillId="0" borderId="5" xfId="20" applyNumberFormat="1" applyFont="1" applyFill="1" applyBorder="1" applyAlignment="1" applyProtection="1">
      <alignment horizontal="center"/>
      <protection/>
    </xf>
    <xf numFmtId="164" fontId="44" fillId="4" borderId="5" xfId="0" applyFont="1" applyFill="1" applyBorder="1" applyAlignment="1" applyProtection="1">
      <alignment horizontal="center"/>
      <protection/>
    </xf>
    <xf numFmtId="165" fontId="44" fillId="6" borderId="5" xfId="20" applyNumberFormat="1" applyFont="1" applyFill="1" applyBorder="1" applyAlignment="1" applyProtection="1">
      <alignment horizontal="center"/>
      <protection/>
    </xf>
    <xf numFmtId="164" fontId="44" fillId="6" borderId="7" xfId="0" applyFont="1" applyFill="1" applyBorder="1" applyAlignment="1" applyProtection="1">
      <alignment horizontal="center"/>
      <protection/>
    </xf>
    <xf numFmtId="165" fontId="47" fillId="0" borderId="7" xfId="20" applyNumberFormat="1" applyFont="1" applyFill="1" applyBorder="1" applyAlignment="1" applyProtection="1">
      <alignment horizontal="center"/>
      <protection/>
    </xf>
    <xf numFmtId="164" fontId="44" fillId="4" borderId="7" xfId="0" applyFont="1" applyFill="1" applyBorder="1" applyAlignment="1" applyProtection="1">
      <alignment horizontal="center"/>
      <protection/>
    </xf>
    <xf numFmtId="165" fontId="44" fillId="6" borderId="7" xfId="20" applyNumberFormat="1" applyFont="1" applyFill="1" applyBorder="1" applyAlignment="1" applyProtection="1">
      <alignment horizontal="center"/>
      <protection/>
    </xf>
    <xf numFmtId="176" fontId="46" fillId="6" borderId="1" xfId="0" applyNumberFormat="1" applyFont="1" applyFill="1" applyBorder="1" applyAlignment="1" applyProtection="1">
      <alignment horizontal="center"/>
      <protection/>
    </xf>
    <xf numFmtId="164" fontId="46" fillId="6" borderId="1" xfId="0" applyFont="1" applyFill="1" applyBorder="1" applyAlignment="1" applyProtection="1">
      <alignment horizontal="center"/>
      <protection/>
    </xf>
    <xf numFmtId="165" fontId="46" fillId="6" borderId="1" xfId="0" applyNumberFormat="1" applyFont="1" applyFill="1" applyBorder="1" applyAlignment="1" applyProtection="1">
      <alignment horizontal="center"/>
      <protection/>
    </xf>
    <xf numFmtId="176" fontId="44" fillId="6" borderId="0" xfId="0" applyNumberFormat="1" applyFont="1" applyFill="1" applyBorder="1" applyAlignment="1" applyProtection="1">
      <alignment horizontal="center"/>
      <protection/>
    </xf>
    <xf numFmtId="168" fontId="46" fillId="6" borderId="0" xfId="0" applyNumberFormat="1" applyFont="1" applyFill="1" applyBorder="1" applyAlignment="1" applyProtection="1">
      <alignment horizontal="center"/>
      <protection/>
    </xf>
    <xf numFmtId="164" fontId="44" fillId="0" borderId="0" xfId="0" applyFont="1" applyAlignment="1" applyProtection="1">
      <alignment/>
      <protection/>
    </xf>
    <xf numFmtId="164" fontId="48" fillId="0" borderId="0" xfId="0" applyFont="1" applyAlignment="1" applyProtection="1">
      <alignment/>
      <protection/>
    </xf>
    <xf numFmtId="164" fontId="46" fillId="0" borderId="38" xfId="0" applyFont="1" applyBorder="1" applyAlignment="1" applyProtection="1">
      <alignment horizontal="center"/>
      <protection/>
    </xf>
    <xf numFmtId="167" fontId="44" fillId="0" borderId="38" xfId="20" applyNumberFormat="1" applyFont="1" applyFill="1" applyBorder="1" applyAlignment="1" applyProtection="1">
      <alignment horizontal="center"/>
      <protection/>
    </xf>
    <xf numFmtId="165" fontId="44" fillId="0" borderId="40" xfId="20" applyNumberFormat="1" applyFont="1" applyFill="1" applyBorder="1" applyAlignment="1" applyProtection="1">
      <alignment horizontal="left"/>
      <protection/>
    </xf>
    <xf numFmtId="165" fontId="46" fillId="0" borderId="40" xfId="20" applyNumberFormat="1" applyFont="1" applyFill="1" applyBorder="1" applyAlignment="1" applyProtection="1">
      <alignment horizontal="left"/>
      <protection/>
    </xf>
    <xf numFmtId="167" fontId="44" fillId="0" borderId="57" xfId="20" applyNumberFormat="1" applyFont="1" applyFill="1" applyBorder="1" applyAlignment="1" applyProtection="1">
      <alignment horizontal="center"/>
      <protection/>
    </xf>
    <xf numFmtId="165" fontId="44" fillId="0" borderId="58" xfId="20" applyNumberFormat="1" applyFont="1" applyFill="1" applyBorder="1" applyAlignment="1" applyProtection="1">
      <alignment horizontal="left"/>
      <protection/>
    </xf>
  </cellXfs>
  <cellStyles count="10">
    <cellStyle name="Normal" xfId="0"/>
    <cellStyle name="Comma" xfId="15"/>
    <cellStyle name="Comma [0]" xfId="16"/>
    <cellStyle name="Currency" xfId="17"/>
    <cellStyle name="Currency [0]" xfId="18"/>
    <cellStyle name="Percent" xfId="19"/>
    <cellStyle name="Euro" xfId="20"/>
    <cellStyle name="Normal_Amortissements" xfId="21"/>
    <cellStyle name="Normal_Charges internes salariés" xfId="22"/>
    <cellStyle name="Normal_Prévisions de vente" xfId="23"/>
  </cellStyles>
  <dxfs count="1">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1</xdr:row>
      <xdr:rowOff>19050</xdr:rowOff>
    </xdr:from>
    <xdr:to>
      <xdr:col>9</xdr:col>
      <xdr:colOff>523875</xdr:colOff>
      <xdr:row>2</xdr:row>
      <xdr:rowOff>114300</xdr:rowOff>
    </xdr:to>
    <xdr:sp>
      <xdr:nvSpPr>
        <xdr:cNvPr id="1" name="Texte 1"/>
        <xdr:cNvSpPr>
          <a:spLocks/>
        </xdr:cNvSpPr>
      </xdr:nvSpPr>
      <xdr:spPr>
        <a:xfrm>
          <a:off x="1552575" y="104775"/>
          <a:ext cx="10487025" cy="323850"/>
        </a:xfrm>
        <a:prstGeom prst="round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600" b="0" i="0" u="none" baseline="0"/>
            <a:t>COMPTE D'EXPLOITATION PRÉVISIONNEL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0</xdr:row>
      <xdr:rowOff>0</xdr:rowOff>
    </xdr:from>
    <xdr:to>
      <xdr:col>8</xdr:col>
      <xdr:colOff>361950</xdr:colOff>
      <xdr:row>1</xdr:row>
      <xdr:rowOff>57150</xdr:rowOff>
    </xdr:to>
    <xdr:sp>
      <xdr:nvSpPr>
        <xdr:cNvPr id="1" name="Texte 1"/>
        <xdr:cNvSpPr>
          <a:spLocks/>
        </xdr:cNvSpPr>
      </xdr:nvSpPr>
      <xdr:spPr>
        <a:xfrm>
          <a:off x="6953250" y="0"/>
          <a:ext cx="3762375" cy="238125"/>
        </a:xfrm>
        <a:prstGeom prst="round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200" b="0" i="0" u="none" baseline="0"/>
            <a:t>PLAN DE FINANCEMENT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Program%20Files\CD%20Animus\Etude_Economique_et_Financie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4:C42"/>
  <sheetViews>
    <sheetView showGridLines="0" tabSelected="1" workbookViewId="0" topLeftCell="A1">
      <selection activeCell="A1" sqref="A1"/>
    </sheetView>
  </sheetViews>
  <sheetFormatPr defaultColWidth="11.421875" defaultRowHeight="12.75"/>
  <cols>
    <col min="1" max="16384" width="11.421875" style="1" customWidth="1"/>
  </cols>
  <sheetData>
    <row r="4" spans="1:3" s="2" customFormat="1" ht="15">
      <c r="A4" s="2" t="s">
        <v>0</v>
      </c>
      <c r="C4" s="3" t="s">
        <v>1</v>
      </c>
    </row>
    <row r="7" ht="12.75">
      <c r="A7" s="4" t="s">
        <v>2</v>
      </c>
    </row>
    <row r="8" ht="12.75">
      <c r="A8" s="4"/>
    </row>
    <row r="9" ht="12.75">
      <c r="A9" s="1" t="s">
        <v>3</v>
      </c>
    </row>
    <row r="10" ht="12.75">
      <c r="A10" s="1" t="s">
        <v>4</v>
      </c>
    </row>
    <row r="11" ht="12.75">
      <c r="A11" s="1" t="s">
        <v>5</v>
      </c>
    </row>
    <row r="13" ht="12.75">
      <c r="A13" s="4" t="s">
        <v>6</v>
      </c>
    </row>
    <row r="14" ht="12.75">
      <c r="A14" s="4"/>
    </row>
    <row r="15" ht="12.75">
      <c r="A15" s="5" t="s">
        <v>7</v>
      </c>
    </row>
    <row r="16" ht="12.75">
      <c r="A16" s="5"/>
    </row>
    <row r="17" ht="12.75">
      <c r="A17" s="5" t="s">
        <v>8</v>
      </c>
    </row>
    <row r="18" ht="12.75">
      <c r="A18" s="5" t="s">
        <v>9</v>
      </c>
    </row>
    <row r="19" ht="12.75">
      <c r="A19" s="5" t="s">
        <v>10</v>
      </c>
    </row>
    <row r="20" ht="12.75">
      <c r="A20" s="5" t="s">
        <v>11</v>
      </c>
    </row>
    <row r="21" ht="12.75">
      <c r="A21" s="5" t="s">
        <v>12</v>
      </c>
    </row>
    <row r="22" ht="12.75">
      <c r="A22" s="5" t="s">
        <v>13</v>
      </c>
    </row>
    <row r="23" ht="12.75">
      <c r="A23" s="5"/>
    </row>
    <row r="24" ht="12.75">
      <c r="A24" s="4" t="s">
        <v>14</v>
      </c>
    </row>
    <row r="26" ht="12.75">
      <c r="A26" s="1" t="s">
        <v>15</v>
      </c>
    </row>
    <row r="28" spans="1:2" ht="12.75">
      <c r="A28" s="6"/>
      <c r="B28" s="1" t="s">
        <v>16</v>
      </c>
    </row>
    <row r="29" spans="1:2" ht="12.75">
      <c r="A29" s="7"/>
      <c r="B29" s="1" t="s">
        <v>17</v>
      </c>
    </row>
    <row r="30" spans="1:2" ht="12.75">
      <c r="A30" s="8"/>
      <c r="B30" s="1" t="s">
        <v>18</v>
      </c>
    </row>
    <row r="32" ht="12.75">
      <c r="A32" s="1" t="s">
        <v>19</v>
      </c>
    </row>
    <row r="34" ht="12.75">
      <c r="A34" s="7"/>
    </row>
    <row r="36" ht="12.75">
      <c r="A36" s="4" t="s">
        <v>20</v>
      </c>
    </row>
    <row r="38" ht="12.75">
      <c r="A38" s="1" t="s">
        <v>21</v>
      </c>
    </row>
    <row r="39" ht="12.75">
      <c r="A39" s="1" t="s">
        <v>22</v>
      </c>
    </row>
    <row r="40" ht="12.75">
      <c r="A40" s="1" t="s">
        <v>23</v>
      </c>
    </row>
    <row r="41" ht="12.75">
      <c r="A41" s="1" t="s">
        <v>24</v>
      </c>
    </row>
    <row r="42" ht="12.75">
      <c r="A42" s="1" t="s">
        <v>25</v>
      </c>
    </row>
  </sheetData>
  <sheetProtection sheet="1" objects="1" scenarios="1"/>
  <printOptions/>
  <pageMargins left="0.7479166666666667" right="0.7479166666666667" top="0.9840277777777777" bottom="0.9840277777777777" header="0.5118055555555555" footer="0.5118055555555555"/>
  <pageSetup horizontalDpi="300" verticalDpi="300" orientation="landscape" paperSize="9" scale="15"/>
  <legacyDrawing r:id="rId2"/>
</worksheet>
</file>

<file path=xl/worksheets/sheet2.xml><?xml version="1.0" encoding="utf-8"?>
<worksheet xmlns="http://schemas.openxmlformats.org/spreadsheetml/2006/main" xmlns:r="http://schemas.openxmlformats.org/officeDocument/2006/relationships">
  <dimension ref="B3:E27"/>
  <sheetViews>
    <sheetView showGridLines="0" workbookViewId="0" topLeftCell="A1">
      <selection activeCell="B21" sqref="B21"/>
    </sheetView>
  </sheetViews>
  <sheetFormatPr defaultColWidth="11.421875" defaultRowHeight="12.75"/>
  <cols>
    <col min="1" max="1" width="11.421875" style="1" customWidth="1"/>
    <col min="2" max="2" width="37.421875" style="1" customWidth="1"/>
    <col min="3" max="4" width="14.7109375" style="1" customWidth="1"/>
    <col min="5" max="5" width="38.7109375" style="1" customWidth="1"/>
    <col min="6" max="16384" width="11.421875" style="1" customWidth="1"/>
  </cols>
  <sheetData>
    <row r="3" ht="12.75" customHeight="1">
      <c r="B3" s="9" t="s">
        <v>26</v>
      </c>
    </row>
    <row r="4" ht="12.75">
      <c r="B4" s="9"/>
    </row>
    <row r="5" ht="12.75">
      <c r="B5" s="9"/>
    </row>
    <row r="6" ht="12.75">
      <c r="B6" s="9"/>
    </row>
    <row r="11" spans="2:5" ht="12.75">
      <c r="B11" s="10" t="s">
        <v>27</v>
      </c>
      <c r="C11" s="10"/>
      <c r="D11" s="10" t="s">
        <v>28</v>
      </c>
      <c r="E11" s="10"/>
    </row>
    <row r="12" spans="2:5" ht="12.75">
      <c r="B12" s="11"/>
      <c r="C12" s="12"/>
      <c r="D12" s="11"/>
      <c r="E12" s="12"/>
    </row>
    <row r="13" spans="2:5" ht="12.75">
      <c r="B13" s="13" t="s">
        <v>29</v>
      </c>
      <c r="C13" s="14">
        <v>0</v>
      </c>
      <c r="D13" s="15">
        <v>0</v>
      </c>
      <c r="E13" s="16" t="s">
        <v>30</v>
      </c>
    </row>
    <row r="14" spans="2:5" ht="12.75">
      <c r="B14" s="13" t="s">
        <v>31</v>
      </c>
      <c r="C14" s="14">
        <v>0</v>
      </c>
      <c r="D14" s="15">
        <v>0</v>
      </c>
      <c r="E14" s="16" t="s">
        <v>32</v>
      </c>
    </row>
    <row r="15" spans="2:5" ht="12.75">
      <c r="B15" s="13" t="s">
        <v>33</v>
      </c>
      <c r="C15" s="14">
        <v>0</v>
      </c>
      <c r="D15" s="15">
        <v>0</v>
      </c>
      <c r="E15" s="16" t="s">
        <v>34</v>
      </c>
    </row>
    <row r="16" spans="2:5" ht="12.75">
      <c r="B16" s="13" t="s">
        <v>35</v>
      </c>
      <c r="C16" s="14">
        <v>0</v>
      </c>
      <c r="D16" s="15">
        <v>0</v>
      </c>
      <c r="E16" s="16" t="s">
        <v>36</v>
      </c>
    </row>
    <row r="17" spans="2:5" ht="12.75">
      <c r="B17" s="17"/>
      <c r="C17" s="18"/>
      <c r="D17" s="19"/>
      <c r="E17" s="20"/>
    </row>
    <row r="18" ht="12.75"/>
    <row r="19" spans="3:4" ht="12.75">
      <c r="C19" s="21">
        <f>SUM(C13:C17)</f>
        <v>0</v>
      </c>
      <c r="D19" s="21">
        <f>SUM(D13:D17)</f>
        <v>0</v>
      </c>
    </row>
    <row r="20" ht="12.75"/>
    <row r="25" spans="2:3" ht="12.75">
      <c r="B25" s="22" t="s">
        <v>37</v>
      </c>
      <c r="C25" s="23">
        <f>D13+D14-C13</f>
        <v>0</v>
      </c>
    </row>
    <row r="26" spans="2:3" ht="12.75">
      <c r="B26" s="13" t="s">
        <v>38</v>
      </c>
      <c r="C26" s="24">
        <f>C14+C15-D15</f>
        <v>0</v>
      </c>
    </row>
    <row r="27" spans="2:3" ht="12.75">
      <c r="B27" s="17" t="str">
        <f>IF(C27&lt;0,"Besoin de financement","Apport de financement")</f>
        <v>Apport de financement</v>
      </c>
      <c r="C27" s="25">
        <f>C25-C26</f>
        <v>0</v>
      </c>
    </row>
  </sheetData>
  <mergeCells count="3">
    <mergeCell ref="B3:B6"/>
    <mergeCell ref="B11:C11"/>
    <mergeCell ref="D11:E11"/>
  </mergeCell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09"/>
  <sheetViews>
    <sheetView showGridLines="0" zoomScale="200" zoomScaleNormal="200" workbookViewId="0" topLeftCell="F34">
      <selection activeCell="M62" sqref="M62"/>
    </sheetView>
  </sheetViews>
  <sheetFormatPr defaultColWidth="11.421875" defaultRowHeight="12.75"/>
  <cols>
    <col min="1" max="1" width="50.00390625" style="26" customWidth="1"/>
    <col min="2" max="2" width="16.421875" style="27" customWidth="1"/>
    <col min="3" max="5" width="16.00390625" style="26" customWidth="1"/>
    <col min="6" max="6" width="17.140625" style="27" customWidth="1"/>
    <col min="7" max="7" width="14.57421875" style="26" customWidth="1"/>
    <col min="8" max="9" width="13.28125" style="26" customWidth="1"/>
    <col min="10" max="10" width="16.7109375" style="27" customWidth="1"/>
    <col min="11" max="11" width="15.7109375" style="26" customWidth="1"/>
    <col min="12" max="13" width="17.00390625" style="26" customWidth="1"/>
    <col min="14" max="16384" width="11.421875" style="26" customWidth="1"/>
  </cols>
  <sheetData>
    <row r="1" ht="6.75" customHeight="1">
      <c r="A1" s="26" t="s">
        <v>39</v>
      </c>
    </row>
    <row r="4" ht="15">
      <c r="A4" s="28"/>
    </row>
    <row r="5" spans="2:13" ht="15.75">
      <c r="B5" s="29" t="s">
        <v>40</v>
      </c>
      <c r="C5" s="29"/>
      <c r="D5" s="29"/>
      <c r="E5" s="29"/>
      <c r="F5" s="30" t="s">
        <v>41</v>
      </c>
      <c r="G5" s="30"/>
      <c r="H5" s="30"/>
      <c r="I5" s="30"/>
      <c r="J5" s="29" t="s">
        <v>42</v>
      </c>
      <c r="K5" s="29"/>
      <c r="L5" s="29"/>
      <c r="M5" s="29"/>
    </row>
    <row r="6" spans="2:13" ht="18.75" customHeight="1">
      <c r="B6" s="31"/>
      <c r="C6" s="32" t="s">
        <v>43</v>
      </c>
      <c r="D6" s="32" t="s">
        <v>44</v>
      </c>
      <c r="E6" s="33" t="s">
        <v>44</v>
      </c>
      <c r="F6" s="34"/>
      <c r="G6" s="32" t="s">
        <v>43</v>
      </c>
      <c r="H6" s="32" t="s">
        <v>44</v>
      </c>
      <c r="I6" s="33" t="s">
        <v>44</v>
      </c>
      <c r="J6" s="31"/>
      <c r="K6" s="35" t="s">
        <v>43</v>
      </c>
      <c r="L6" s="36" t="s">
        <v>44</v>
      </c>
      <c r="M6" s="37" t="s">
        <v>44</v>
      </c>
    </row>
    <row r="7" spans="1:13" ht="15.75">
      <c r="A7" s="38">
        <f>'Plan de financement'!A4</f>
        <v>0</v>
      </c>
      <c r="B7" s="39" t="s">
        <v>45</v>
      </c>
      <c r="C7" s="40" t="s">
        <v>46</v>
      </c>
      <c r="D7" s="40" t="s">
        <v>47</v>
      </c>
      <c r="E7" s="41" t="s">
        <v>48</v>
      </c>
      <c r="F7" s="42" t="s">
        <v>49</v>
      </c>
      <c r="G7" s="43" t="s">
        <v>50</v>
      </c>
      <c r="H7" s="43" t="s">
        <v>51</v>
      </c>
      <c r="I7" s="44" t="s">
        <v>48</v>
      </c>
      <c r="J7" s="45" t="s">
        <v>52</v>
      </c>
      <c r="K7" s="43" t="s">
        <v>53</v>
      </c>
      <c r="L7" s="43" t="s">
        <v>54</v>
      </c>
      <c r="M7" s="44" t="s">
        <v>48</v>
      </c>
    </row>
    <row r="8" spans="1:13" ht="15.75">
      <c r="A8" s="46" t="s">
        <v>55</v>
      </c>
      <c r="B8" s="47"/>
      <c r="C8" s="48"/>
      <c r="D8" s="48"/>
      <c r="E8" s="49"/>
      <c r="F8" s="50"/>
      <c r="G8" s="51"/>
      <c r="H8" s="51"/>
      <c r="I8" s="52"/>
      <c r="J8" s="47"/>
      <c r="K8" s="51"/>
      <c r="L8" s="53"/>
      <c r="M8" s="52"/>
    </row>
    <row r="9" spans="1:13" ht="15.75">
      <c r="A9" s="54" t="s">
        <v>56</v>
      </c>
      <c r="B9" s="55">
        <f>SUM(B10:B13)</f>
        <v>0</v>
      </c>
      <c r="C9" s="56">
        <f>SUM(C10:C13)</f>
        <v>0</v>
      </c>
      <c r="D9" s="56">
        <f>SUM(D10:D13)</f>
        <v>0</v>
      </c>
      <c r="E9" s="57">
        <f>SUM(E10:E13)</f>
        <v>0</v>
      </c>
      <c r="F9" s="58">
        <f>SUM(F10:F13)</f>
        <v>0</v>
      </c>
      <c r="G9" s="56">
        <f aca="true" t="shared" si="0" ref="G9:M9">SUM(G10:G13)</f>
        <v>0</v>
      </c>
      <c r="H9" s="56">
        <f t="shared" si="0"/>
        <v>0</v>
      </c>
      <c r="I9" s="57">
        <f t="shared" si="0"/>
        <v>0</v>
      </c>
      <c r="J9" s="55">
        <f t="shared" si="0"/>
        <v>0</v>
      </c>
      <c r="K9" s="56">
        <f t="shared" si="0"/>
        <v>0</v>
      </c>
      <c r="L9" s="56">
        <f t="shared" si="0"/>
        <v>0</v>
      </c>
      <c r="M9" s="57">
        <f t="shared" si="0"/>
        <v>0</v>
      </c>
    </row>
    <row r="10" spans="1:15" ht="15.75">
      <c r="A10" s="59" t="s">
        <v>57</v>
      </c>
      <c r="B10" s="55">
        <f>SUM(C10:E10)</f>
        <v>0</v>
      </c>
      <c r="C10" s="60">
        <v>0</v>
      </c>
      <c r="D10" s="60">
        <v>0</v>
      </c>
      <c r="E10" s="61">
        <v>0</v>
      </c>
      <c r="F10" s="58">
        <f>SUM(G10:I10)</f>
        <v>0</v>
      </c>
      <c r="G10" s="60">
        <v>0</v>
      </c>
      <c r="H10" s="60">
        <v>0</v>
      </c>
      <c r="I10" s="61">
        <v>0</v>
      </c>
      <c r="J10" s="55">
        <f>SUM(K10:M10)</f>
        <v>0</v>
      </c>
      <c r="K10" s="60">
        <v>0</v>
      </c>
      <c r="L10" s="60">
        <v>0</v>
      </c>
      <c r="M10" s="61">
        <v>0</v>
      </c>
      <c r="O10" s="28"/>
    </row>
    <row r="11" spans="1:15" ht="15.75">
      <c r="A11" s="59" t="s">
        <v>58</v>
      </c>
      <c r="B11" s="55">
        <f>SUM(C11:E11)</f>
        <v>0</v>
      </c>
      <c r="C11" s="60">
        <v>0</v>
      </c>
      <c r="D11" s="60">
        <v>0</v>
      </c>
      <c r="E11" s="61">
        <v>0</v>
      </c>
      <c r="F11" s="58">
        <f>SUM(G11:I11)</f>
        <v>0</v>
      </c>
      <c r="G11" s="60">
        <v>0</v>
      </c>
      <c r="H11" s="60">
        <v>0</v>
      </c>
      <c r="I11" s="61">
        <v>0</v>
      </c>
      <c r="J11" s="55">
        <f>SUM(K11:M11)</f>
        <v>0</v>
      </c>
      <c r="K11" s="60">
        <v>0</v>
      </c>
      <c r="L11" s="60">
        <v>0</v>
      </c>
      <c r="M11" s="61">
        <v>0</v>
      </c>
      <c r="O11" s="28"/>
    </row>
    <row r="12" spans="1:13" ht="15.75">
      <c r="A12" s="59" t="s">
        <v>59</v>
      </c>
      <c r="B12" s="55">
        <f>SUM(C12:E12)</f>
        <v>0</v>
      </c>
      <c r="C12" s="60">
        <v>0</v>
      </c>
      <c r="D12" s="60">
        <v>0</v>
      </c>
      <c r="E12" s="61">
        <v>0</v>
      </c>
      <c r="F12" s="58">
        <f>SUM(G12:I12)</f>
        <v>0</v>
      </c>
      <c r="G12" s="62"/>
      <c r="H12" s="60">
        <v>0</v>
      </c>
      <c r="I12" s="61">
        <v>0</v>
      </c>
      <c r="J12" s="55">
        <f>SUM(K12:M12)</f>
        <v>0</v>
      </c>
      <c r="K12" s="62"/>
      <c r="L12" s="60">
        <v>0</v>
      </c>
      <c r="M12" s="61">
        <v>0</v>
      </c>
    </row>
    <row r="13" spans="1:13" ht="15.75">
      <c r="A13" s="59" t="s">
        <v>60</v>
      </c>
      <c r="B13" s="55">
        <f>SUM(C13:E13)</f>
        <v>0</v>
      </c>
      <c r="C13" s="60">
        <v>0</v>
      </c>
      <c r="D13" s="60">
        <v>0</v>
      </c>
      <c r="E13" s="61">
        <v>0</v>
      </c>
      <c r="F13" s="58">
        <f>SUM(G13:I13)</f>
        <v>0</v>
      </c>
      <c r="G13" s="60">
        <v>0</v>
      </c>
      <c r="H13" s="60">
        <v>0</v>
      </c>
      <c r="I13" s="61">
        <v>0</v>
      </c>
      <c r="J13" s="55">
        <f>SUM(K13:M13)</f>
        <v>0</v>
      </c>
      <c r="K13" s="60">
        <v>0</v>
      </c>
      <c r="L13" s="60">
        <v>0</v>
      </c>
      <c r="M13" s="61">
        <v>0</v>
      </c>
    </row>
    <row r="14" spans="1:13" ht="15.75">
      <c r="A14" s="59"/>
      <c r="B14" s="47"/>
      <c r="C14" s="51"/>
      <c r="D14" s="51"/>
      <c r="E14" s="52"/>
      <c r="F14" s="50"/>
      <c r="G14" s="51"/>
      <c r="H14" s="51"/>
      <c r="I14" s="52"/>
      <c r="J14" s="63"/>
      <c r="K14" s="51"/>
      <c r="L14" s="51"/>
      <c r="M14" s="52"/>
    </row>
    <row r="15" spans="1:13" ht="15">
      <c r="A15" s="54" t="s">
        <v>61</v>
      </c>
      <c r="B15" s="55">
        <f>SUM(B16:B24)</f>
        <v>22408.83</v>
      </c>
      <c r="C15" s="56">
        <f>SUM(C16:C24)</f>
        <v>7438.83</v>
      </c>
      <c r="D15" s="56">
        <f>SUM(D16:D24)</f>
        <v>0</v>
      </c>
      <c r="E15" s="57">
        <f>SUM(E16:E24)</f>
        <v>0</v>
      </c>
      <c r="F15" s="58">
        <f>SUM(G15:I15)</f>
        <v>0</v>
      </c>
      <c r="G15" s="56">
        <f>SUM(G16:G17)</f>
        <v>0</v>
      </c>
      <c r="H15" s="56">
        <f aca="true" t="shared" si="1" ref="H15:M15">SUM(H16:H17)</f>
        <v>0</v>
      </c>
      <c r="I15" s="57">
        <f t="shared" si="1"/>
        <v>0</v>
      </c>
      <c r="J15" s="64">
        <f t="shared" si="1"/>
        <v>0</v>
      </c>
      <c r="K15" s="56">
        <f t="shared" si="1"/>
        <v>0</v>
      </c>
      <c r="L15" s="56">
        <f t="shared" si="1"/>
        <v>0</v>
      </c>
      <c r="M15" s="57">
        <f t="shared" si="1"/>
        <v>0</v>
      </c>
    </row>
    <row r="16" spans="1:13" ht="15">
      <c r="A16" s="59" t="s">
        <v>62</v>
      </c>
      <c r="B16" s="55">
        <f>SUM(C16:E16)</f>
        <v>0</v>
      </c>
      <c r="C16" s="60">
        <v>0</v>
      </c>
      <c r="D16" s="60">
        <v>0</v>
      </c>
      <c r="E16" s="61">
        <v>0</v>
      </c>
      <c r="F16" s="58">
        <f>SUM(G16:I16)</f>
        <v>0</v>
      </c>
      <c r="G16" s="60">
        <v>0</v>
      </c>
      <c r="H16" s="60">
        <v>0</v>
      </c>
      <c r="I16" s="61">
        <v>0</v>
      </c>
      <c r="J16" s="55">
        <f>SUM(K16:M16)</f>
        <v>0</v>
      </c>
      <c r="K16" s="60">
        <v>0</v>
      </c>
      <c r="L16" s="60">
        <v>0</v>
      </c>
      <c r="M16" s="61">
        <v>0</v>
      </c>
    </row>
    <row r="17" spans="1:13" ht="15">
      <c r="A17" s="59" t="s">
        <v>63</v>
      </c>
      <c r="B17" s="55">
        <f>C17+D17+E17</f>
        <v>0</v>
      </c>
      <c r="C17" s="60">
        <v>0</v>
      </c>
      <c r="D17" s="60">
        <v>0</v>
      </c>
      <c r="E17" s="61">
        <v>0</v>
      </c>
      <c r="F17" s="58">
        <f>SUM(G17:I17)</f>
        <v>0</v>
      </c>
      <c r="G17" s="60">
        <v>0</v>
      </c>
      <c r="H17" s="60">
        <v>0</v>
      </c>
      <c r="I17" s="61">
        <v>0</v>
      </c>
      <c r="J17" s="55">
        <f>SUM(K17:M17)</f>
        <v>0</v>
      </c>
      <c r="K17" s="60">
        <v>0</v>
      </c>
      <c r="L17" s="60">
        <v>0</v>
      </c>
      <c r="M17" s="61">
        <v>0</v>
      </c>
    </row>
    <row r="18" spans="1:13" ht="15">
      <c r="A18" s="59" t="s">
        <v>64</v>
      </c>
      <c r="B18" s="55">
        <f>SUM(C18:E18)</f>
        <v>0</v>
      </c>
      <c r="C18" s="62">
        <f>Salaires!I9</f>
        <v>0</v>
      </c>
      <c r="D18" s="51"/>
      <c r="E18" s="52"/>
      <c r="F18" s="58">
        <f>Salaires!I24+Salaires!I25</f>
        <v>0</v>
      </c>
      <c r="G18" s="62">
        <f>F18</f>
        <v>0</v>
      </c>
      <c r="H18" s="51"/>
      <c r="I18" s="52"/>
      <c r="J18" s="55">
        <f>Salaires!I40+Salaires!I41</f>
        <v>0</v>
      </c>
      <c r="K18" s="62">
        <f>J18</f>
        <v>0</v>
      </c>
      <c r="L18" s="51"/>
      <c r="M18" s="52"/>
    </row>
    <row r="19" spans="1:13" ht="15">
      <c r="A19" s="59" t="s">
        <v>65</v>
      </c>
      <c r="B19" s="55">
        <f aca="true" t="shared" si="2" ref="B19:B24">SUM(C19:E19)</f>
        <v>0</v>
      </c>
      <c r="C19" s="51"/>
      <c r="D19" s="65">
        <f>Salaires!I10</f>
        <v>0</v>
      </c>
      <c r="E19" s="52"/>
      <c r="F19" s="58">
        <f>Salaires!I26</f>
        <v>0</v>
      </c>
      <c r="G19" s="51"/>
      <c r="H19" s="62">
        <f>F19</f>
        <v>0</v>
      </c>
      <c r="I19" s="52"/>
      <c r="J19" s="55">
        <f>Salaires!I42</f>
        <v>0</v>
      </c>
      <c r="K19" s="51"/>
      <c r="L19" s="62">
        <f>J19</f>
        <v>0</v>
      </c>
      <c r="M19" s="52"/>
    </row>
    <row r="20" spans="1:13" ht="15">
      <c r="A20" s="59" t="s">
        <v>66</v>
      </c>
      <c r="B20" s="55">
        <f>Salaires!I13</f>
        <v>7438.83</v>
      </c>
      <c r="C20" s="62">
        <f>Salaires!I13</f>
        <v>7438.83</v>
      </c>
      <c r="E20" s="52"/>
      <c r="F20" s="58">
        <f>Salaires!I29</f>
        <v>0</v>
      </c>
      <c r="G20" s="66">
        <f>Salaires!I29</f>
        <v>0</v>
      </c>
      <c r="I20" s="52"/>
      <c r="J20" s="55">
        <f>Salaires!I45</f>
        <v>0</v>
      </c>
      <c r="K20" s="66">
        <f>Salaires!I45</f>
        <v>0</v>
      </c>
      <c r="M20" s="52"/>
    </row>
    <row r="21" spans="1:13" ht="15">
      <c r="A21" s="59" t="s">
        <v>67</v>
      </c>
      <c r="B21" s="55">
        <f>Salaires!I14</f>
        <v>14970</v>
      </c>
      <c r="C21" s="67">
        <v>0</v>
      </c>
      <c r="D21" s="68">
        <v>0</v>
      </c>
      <c r="E21" s="69">
        <v>0</v>
      </c>
      <c r="F21" s="58">
        <f>Salaires!I30</f>
        <v>0</v>
      </c>
      <c r="G21" s="68">
        <v>0</v>
      </c>
      <c r="H21" s="68">
        <v>0</v>
      </c>
      <c r="I21" s="69">
        <v>0</v>
      </c>
      <c r="J21" s="55">
        <f>Salaires!I46</f>
        <v>0</v>
      </c>
      <c r="K21" s="68">
        <v>0</v>
      </c>
      <c r="L21" s="68">
        <v>0</v>
      </c>
      <c r="M21" s="69">
        <v>0</v>
      </c>
    </row>
    <row r="22" spans="1:13" ht="15">
      <c r="A22" s="59" t="s">
        <v>68</v>
      </c>
      <c r="B22" s="55">
        <f t="shared" si="2"/>
        <v>0</v>
      </c>
      <c r="C22" s="60">
        <v>0</v>
      </c>
      <c r="D22" s="60">
        <v>0</v>
      </c>
      <c r="E22" s="61">
        <v>0</v>
      </c>
      <c r="F22" s="58">
        <f>G22+H22+I22</f>
        <v>0</v>
      </c>
      <c r="G22" s="60">
        <v>0</v>
      </c>
      <c r="H22" s="60">
        <v>0</v>
      </c>
      <c r="I22" s="61">
        <v>0</v>
      </c>
      <c r="J22" s="55">
        <f>K22+L22+M22</f>
        <v>0</v>
      </c>
      <c r="K22" s="60">
        <v>0</v>
      </c>
      <c r="L22" s="60">
        <v>0</v>
      </c>
      <c r="M22" s="61">
        <v>0</v>
      </c>
    </row>
    <row r="23" spans="1:13" ht="15">
      <c r="A23" s="59" t="s">
        <v>69</v>
      </c>
      <c r="B23" s="55">
        <f t="shared" si="2"/>
        <v>0</v>
      </c>
      <c r="C23" s="60">
        <v>0</v>
      </c>
      <c r="D23" s="60">
        <v>0</v>
      </c>
      <c r="E23" s="61">
        <v>0</v>
      </c>
      <c r="F23" s="58">
        <f>G23+H23+I23</f>
        <v>0</v>
      </c>
      <c r="G23" s="60">
        <v>0</v>
      </c>
      <c r="H23" s="60">
        <v>0</v>
      </c>
      <c r="I23" s="61">
        <v>0</v>
      </c>
      <c r="J23" s="55">
        <f>K23+L23+M23</f>
        <v>0</v>
      </c>
      <c r="K23" s="60">
        <v>0</v>
      </c>
      <c r="L23" s="60">
        <v>0</v>
      </c>
      <c r="M23" s="61">
        <v>0</v>
      </c>
    </row>
    <row r="24" spans="1:13" ht="15">
      <c r="A24" s="59" t="s">
        <v>70</v>
      </c>
      <c r="B24" s="55">
        <f t="shared" si="2"/>
        <v>0</v>
      </c>
      <c r="C24" s="60">
        <v>0</v>
      </c>
      <c r="D24" s="60">
        <v>0</v>
      </c>
      <c r="E24" s="61">
        <v>0</v>
      </c>
      <c r="F24" s="58">
        <f>G24+H24+I24</f>
        <v>0</v>
      </c>
      <c r="G24" s="60">
        <v>0</v>
      </c>
      <c r="H24" s="60">
        <v>0</v>
      </c>
      <c r="I24" s="61">
        <v>0</v>
      </c>
      <c r="J24" s="55">
        <f>K24+L24+M24</f>
        <v>0</v>
      </c>
      <c r="K24" s="60">
        <v>0</v>
      </c>
      <c r="L24" s="60">
        <v>0</v>
      </c>
      <c r="M24" s="61">
        <v>0</v>
      </c>
    </row>
    <row r="25" spans="1:13" ht="15">
      <c r="A25" s="59"/>
      <c r="B25" s="63"/>
      <c r="C25" s="51"/>
      <c r="D25" s="51"/>
      <c r="E25" s="52"/>
      <c r="F25" s="70"/>
      <c r="G25" s="51"/>
      <c r="H25" s="51"/>
      <c r="I25" s="52"/>
      <c r="J25" s="63"/>
      <c r="K25" s="51"/>
      <c r="L25" s="51"/>
      <c r="M25" s="52"/>
    </row>
    <row r="26" spans="1:13" ht="15">
      <c r="A26" s="54" t="s">
        <v>71</v>
      </c>
      <c r="B26" s="55">
        <f>SUM(C26:E26)</f>
        <v>0</v>
      </c>
      <c r="C26" s="56">
        <f aca="true" t="shared" si="3" ref="C26:M26">SUM(C27:C32)</f>
        <v>0</v>
      </c>
      <c r="D26" s="56">
        <f t="shared" si="3"/>
        <v>0</v>
      </c>
      <c r="E26" s="57">
        <f t="shared" si="3"/>
        <v>0</v>
      </c>
      <c r="F26" s="58">
        <f t="shared" si="3"/>
        <v>0</v>
      </c>
      <c r="G26" s="56">
        <f t="shared" si="3"/>
        <v>0</v>
      </c>
      <c r="H26" s="56">
        <f t="shared" si="3"/>
        <v>0</v>
      </c>
      <c r="I26" s="57">
        <f t="shared" si="3"/>
        <v>0</v>
      </c>
      <c r="J26" s="55">
        <f t="shared" si="3"/>
        <v>0</v>
      </c>
      <c r="K26" s="56">
        <f t="shared" si="3"/>
        <v>0</v>
      </c>
      <c r="L26" s="56">
        <f t="shared" si="3"/>
        <v>0</v>
      </c>
      <c r="M26" s="57">
        <f t="shared" si="3"/>
        <v>0</v>
      </c>
    </row>
    <row r="27" spans="1:13" ht="15">
      <c r="A27" s="71" t="s">
        <v>72</v>
      </c>
      <c r="B27" s="55">
        <f aca="true" t="shared" si="4" ref="B27:B32">SUM(C27:E27)</f>
        <v>0</v>
      </c>
      <c r="C27" s="60">
        <v>0</v>
      </c>
      <c r="D27" s="60">
        <v>0</v>
      </c>
      <c r="E27" s="61">
        <v>0</v>
      </c>
      <c r="F27" s="58">
        <f aca="true" t="shared" si="5" ref="F27:F32">SUM(G27:I27)</f>
        <v>0</v>
      </c>
      <c r="G27" s="60">
        <v>0</v>
      </c>
      <c r="H27" s="60">
        <v>0</v>
      </c>
      <c r="I27" s="61">
        <v>0</v>
      </c>
      <c r="J27" s="55">
        <f aca="true" t="shared" si="6" ref="J27:J32">K27+L27+M27</f>
        <v>0</v>
      </c>
      <c r="K27" s="60">
        <v>0</v>
      </c>
      <c r="L27" s="60">
        <v>0</v>
      </c>
      <c r="M27" s="61">
        <v>0</v>
      </c>
    </row>
    <row r="28" spans="1:13" ht="15">
      <c r="A28" s="71" t="s">
        <v>73</v>
      </c>
      <c r="B28" s="55">
        <f t="shared" si="4"/>
        <v>0</v>
      </c>
      <c r="C28" s="60">
        <v>0</v>
      </c>
      <c r="D28" s="60">
        <v>0</v>
      </c>
      <c r="E28" s="61">
        <v>0</v>
      </c>
      <c r="F28" s="58">
        <f t="shared" si="5"/>
        <v>0</v>
      </c>
      <c r="G28" s="60">
        <v>0</v>
      </c>
      <c r="H28" s="60">
        <v>0</v>
      </c>
      <c r="I28" s="61">
        <v>0</v>
      </c>
      <c r="J28" s="55">
        <f t="shared" si="6"/>
        <v>0</v>
      </c>
      <c r="K28" s="60">
        <v>0</v>
      </c>
      <c r="L28" s="60">
        <v>0</v>
      </c>
      <c r="M28" s="61">
        <v>0</v>
      </c>
    </row>
    <row r="29" spans="1:13" ht="15">
      <c r="A29" s="59" t="s">
        <v>74</v>
      </c>
      <c r="B29" s="55">
        <f t="shared" si="4"/>
        <v>0</v>
      </c>
      <c r="C29" s="60">
        <v>0</v>
      </c>
      <c r="D29" s="60">
        <v>0</v>
      </c>
      <c r="E29" s="61">
        <v>0</v>
      </c>
      <c r="F29" s="58">
        <f t="shared" si="5"/>
        <v>0</v>
      </c>
      <c r="G29" s="60">
        <v>0</v>
      </c>
      <c r="H29" s="60">
        <v>0</v>
      </c>
      <c r="I29" s="61">
        <v>0</v>
      </c>
      <c r="J29" s="55">
        <f t="shared" si="6"/>
        <v>0</v>
      </c>
      <c r="K29" s="60">
        <v>0</v>
      </c>
      <c r="L29" s="60">
        <v>0</v>
      </c>
      <c r="M29" s="61">
        <v>0</v>
      </c>
    </row>
    <row r="30" spans="1:13" ht="15">
      <c r="A30" s="59" t="s">
        <v>75</v>
      </c>
      <c r="B30" s="55">
        <f t="shared" si="4"/>
        <v>0</v>
      </c>
      <c r="C30" s="60">
        <v>0</v>
      </c>
      <c r="D30" s="60">
        <v>0</v>
      </c>
      <c r="E30" s="61">
        <v>0</v>
      </c>
      <c r="F30" s="58">
        <f t="shared" si="5"/>
        <v>0</v>
      </c>
      <c r="G30" s="60">
        <v>0</v>
      </c>
      <c r="H30" s="60">
        <v>0</v>
      </c>
      <c r="I30" s="61">
        <v>0</v>
      </c>
      <c r="J30" s="55">
        <f t="shared" si="6"/>
        <v>0</v>
      </c>
      <c r="K30" s="60">
        <v>0</v>
      </c>
      <c r="L30" s="60">
        <v>0</v>
      </c>
      <c r="M30" s="61">
        <v>0</v>
      </c>
    </row>
    <row r="31" spans="1:13" ht="15">
      <c r="A31" s="59" t="s">
        <v>76</v>
      </c>
      <c r="B31" s="55">
        <f t="shared" si="4"/>
        <v>0</v>
      </c>
      <c r="C31" s="60">
        <v>0</v>
      </c>
      <c r="D31" s="60">
        <v>0</v>
      </c>
      <c r="E31" s="61">
        <v>0</v>
      </c>
      <c r="F31" s="58">
        <f t="shared" si="5"/>
        <v>0</v>
      </c>
      <c r="G31" s="60">
        <v>0</v>
      </c>
      <c r="H31" s="60">
        <v>0</v>
      </c>
      <c r="I31" s="61">
        <v>0</v>
      </c>
      <c r="J31" s="55">
        <f t="shared" si="6"/>
        <v>0</v>
      </c>
      <c r="K31" s="60">
        <v>0</v>
      </c>
      <c r="L31" s="60">
        <v>0</v>
      </c>
      <c r="M31" s="61">
        <v>0</v>
      </c>
    </row>
    <row r="32" spans="1:13" ht="15">
      <c r="A32" s="59" t="s">
        <v>77</v>
      </c>
      <c r="B32" s="55">
        <f t="shared" si="4"/>
        <v>0</v>
      </c>
      <c r="C32" s="60">
        <v>0</v>
      </c>
      <c r="D32" s="60">
        <v>0</v>
      </c>
      <c r="E32" s="61">
        <v>0</v>
      </c>
      <c r="F32" s="58">
        <f t="shared" si="5"/>
        <v>0</v>
      </c>
      <c r="G32" s="60">
        <v>0</v>
      </c>
      <c r="H32" s="60">
        <v>0</v>
      </c>
      <c r="I32" s="61">
        <v>0</v>
      </c>
      <c r="J32" s="55">
        <f t="shared" si="6"/>
        <v>0</v>
      </c>
      <c r="K32" s="60">
        <v>0</v>
      </c>
      <c r="L32" s="60">
        <v>0</v>
      </c>
      <c r="M32" s="61">
        <v>0</v>
      </c>
    </row>
    <row r="33" spans="1:13" ht="15">
      <c r="A33" s="59"/>
      <c r="B33" s="63"/>
      <c r="C33" s="51"/>
      <c r="D33" s="51"/>
      <c r="E33" s="52"/>
      <c r="F33" s="50"/>
      <c r="G33" s="51"/>
      <c r="H33" s="51"/>
      <c r="I33" s="52"/>
      <c r="J33" s="63"/>
      <c r="K33" s="51"/>
      <c r="L33" s="51"/>
      <c r="M33" s="52"/>
    </row>
    <row r="34" spans="1:13" ht="15">
      <c r="A34" s="54" t="s">
        <v>78</v>
      </c>
      <c r="B34" s="55">
        <f>SUM(C34:E34)</f>
        <v>0</v>
      </c>
      <c r="C34" s="60">
        <v>0</v>
      </c>
      <c r="D34" s="60">
        <v>0</v>
      </c>
      <c r="E34" s="61">
        <v>0</v>
      </c>
      <c r="F34" s="58">
        <f>SUM(G34:I34)</f>
        <v>0</v>
      </c>
      <c r="G34" s="60">
        <v>0</v>
      </c>
      <c r="H34" s="60">
        <v>0</v>
      </c>
      <c r="I34" s="61">
        <v>0</v>
      </c>
      <c r="J34" s="55">
        <f>SUM(K34:M34)</f>
        <v>0</v>
      </c>
      <c r="K34" s="60">
        <v>0</v>
      </c>
      <c r="L34" s="60">
        <v>0</v>
      </c>
      <c r="M34" s="61">
        <v>0</v>
      </c>
    </row>
    <row r="35" spans="1:13" ht="15.75">
      <c r="A35" s="59"/>
      <c r="B35" s="47"/>
      <c r="C35" s="51"/>
      <c r="D35" s="51"/>
      <c r="E35" s="52"/>
      <c r="F35" s="50"/>
      <c r="G35" s="51"/>
      <c r="H35" s="51"/>
      <c r="I35" s="52"/>
      <c r="J35" s="63"/>
      <c r="K35" s="51"/>
      <c r="L35" s="51"/>
      <c r="M35" s="52"/>
    </row>
    <row r="36" spans="1:13" ht="15.75">
      <c r="A36" s="72" t="s">
        <v>79</v>
      </c>
      <c r="B36" s="73">
        <f>B34+B26+B15+B9</f>
        <v>22408.83</v>
      </c>
      <c r="C36" s="74">
        <f aca="true" t="shared" si="7" ref="C36:M36">C34+C26+C15+C9</f>
        <v>7438.83</v>
      </c>
      <c r="D36" s="74">
        <f t="shared" si="7"/>
        <v>0</v>
      </c>
      <c r="E36" s="75">
        <f t="shared" si="7"/>
        <v>0</v>
      </c>
      <c r="F36" s="76">
        <f t="shared" si="7"/>
        <v>0</v>
      </c>
      <c r="G36" s="74">
        <f t="shared" si="7"/>
        <v>0</v>
      </c>
      <c r="H36" s="74">
        <f t="shared" si="7"/>
        <v>0</v>
      </c>
      <c r="I36" s="75">
        <f t="shared" si="7"/>
        <v>0</v>
      </c>
      <c r="J36" s="73">
        <f t="shared" si="7"/>
        <v>0</v>
      </c>
      <c r="K36" s="74">
        <f t="shared" si="7"/>
        <v>0</v>
      </c>
      <c r="L36" s="74">
        <f t="shared" si="7"/>
        <v>0</v>
      </c>
      <c r="M36" s="75">
        <f t="shared" si="7"/>
        <v>0</v>
      </c>
    </row>
    <row r="37" spans="1:13" ht="15.75">
      <c r="A37" s="77"/>
      <c r="B37" s="78"/>
      <c r="C37" s="79"/>
      <c r="D37" s="79"/>
      <c r="E37" s="80"/>
      <c r="F37" s="81"/>
      <c r="G37" s="79"/>
      <c r="H37" s="79"/>
      <c r="I37" s="80"/>
      <c r="J37" s="78"/>
      <c r="K37" s="79"/>
      <c r="L37" s="82"/>
      <c r="M37" s="80"/>
    </row>
    <row r="38" spans="1:13" ht="15.75">
      <c r="A38" s="83" t="s">
        <v>80</v>
      </c>
      <c r="B38" s="64">
        <f aca="true" t="shared" si="8" ref="B38:G38">SUM(B39:B41)</f>
        <v>0</v>
      </c>
      <c r="C38" s="56">
        <f t="shared" si="8"/>
        <v>0</v>
      </c>
      <c r="D38" s="56">
        <f t="shared" si="8"/>
        <v>0</v>
      </c>
      <c r="E38" s="57">
        <f t="shared" si="8"/>
        <v>0</v>
      </c>
      <c r="F38" s="84">
        <f t="shared" si="8"/>
        <v>0</v>
      </c>
      <c r="G38" s="56">
        <f t="shared" si="8"/>
        <v>0</v>
      </c>
      <c r="H38" s="56">
        <f aca="true" t="shared" si="9" ref="H38:M38">SUM(H39:H41)</f>
        <v>0</v>
      </c>
      <c r="I38" s="57">
        <f t="shared" si="9"/>
        <v>0</v>
      </c>
      <c r="J38" s="64">
        <f t="shared" si="9"/>
        <v>0</v>
      </c>
      <c r="K38" s="85">
        <f t="shared" si="9"/>
        <v>0</v>
      </c>
      <c r="L38" s="86">
        <f t="shared" si="9"/>
        <v>0</v>
      </c>
      <c r="M38" s="87">
        <f t="shared" si="9"/>
        <v>0</v>
      </c>
    </row>
    <row r="39" spans="1:15" ht="15">
      <c r="A39" s="59" t="s">
        <v>81</v>
      </c>
      <c r="B39" s="55">
        <f>SUM(C39:E39)</f>
        <v>0</v>
      </c>
      <c r="C39" s="60">
        <v>0</v>
      </c>
      <c r="D39" s="60">
        <v>0</v>
      </c>
      <c r="E39" s="61">
        <v>0</v>
      </c>
      <c r="F39" s="58">
        <f>SUM(G39:I39)</f>
        <v>0</v>
      </c>
      <c r="G39" s="60">
        <v>0</v>
      </c>
      <c r="H39" s="60">
        <v>0</v>
      </c>
      <c r="I39" s="61">
        <v>0</v>
      </c>
      <c r="J39" s="55">
        <f>SUM(K39:M39)</f>
        <v>0</v>
      </c>
      <c r="K39" s="60">
        <v>0</v>
      </c>
      <c r="L39" s="60">
        <v>0</v>
      </c>
      <c r="M39" s="61">
        <v>0</v>
      </c>
      <c r="O39" s="27" t="s">
        <v>82</v>
      </c>
    </row>
    <row r="40" spans="1:17" ht="15">
      <c r="A40" s="59" t="s">
        <v>83</v>
      </c>
      <c r="B40" s="55">
        <f>SUM(C40:E40)</f>
        <v>0</v>
      </c>
      <c r="C40" s="60">
        <v>0</v>
      </c>
      <c r="D40" s="60">
        <v>0</v>
      </c>
      <c r="E40" s="61">
        <v>0</v>
      </c>
      <c r="F40" s="58">
        <f>SUM(G40:I40)</f>
        <v>0</v>
      </c>
      <c r="G40" s="60">
        <v>0</v>
      </c>
      <c r="H40" s="60">
        <v>0</v>
      </c>
      <c r="I40" s="61">
        <v>0</v>
      </c>
      <c r="J40" s="55">
        <f>SUM(K40:M40)</f>
        <v>0</v>
      </c>
      <c r="K40" s="60">
        <v>0</v>
      </c>
      <c r="L40" s="60">
        <v>0</v>
      </c>
      <c r="M40" s="61">
        <v>0</v>
      </c>
      <c r="O40" s="26">
        <f>IF(B36=0,0,C36/B36)</f>
        <v>0.3319597676451648</v>
      </c>
      <c r="P40" s="26">
        <f>IF(B36=0,0,D36/B36)</f>
        <v>0</v>
      </c>
      <c r="Q40" s="26">
        <f>IF(B36=0,0,E36/B36)</f>
        <v>0</v>
      </c>
    </row>
    <row r="41" spans="1:13" ht="15.75">
      <c r="A41" s="59" t="s">
        <v>48</v>
      </c>
      <c r="B41" s="55">
        <f>SUM(C41:E41)</f>
        <v>0</v>
      </c>
      <c r="C41" s="60">
        <v>0</v>
      </c>
      <c r="D41" s="60">
        <v>0</v>
      </c>
      <c r="E41" s="61">
        <v>0</v>
      </c>
      <c r="F41" s="58">
        <f>SUM(G41:I41)</f>
        <v>0</v>
      </c>
      <c r="G41" s="60">
        <v>0</v>
      </c>
      <c r="H41" s="60">
        <v>0</v>
      </c>
      <c r="I41" s="61">
        <v>0</v>
      </c>
      <c r="J41" s="55">
        <f>SUM(K41:M41)</f>
        <v>0</v>
      </c>
      <c r="K41" s="60">
        <v>0</v>
      </c>
      <c r="L41" s="60">
        <v>0</v>
      </c>
      <c r="M41" s="61">
        <v>0</v>
      </c>
    </row>
    <row r="42" spans="1:17" ht="15.75">
      <c r="A42" s="88"/>
      <c r="B42" s="78"/>
      <c r="C42" s="48"/>
      <c r="D42" s="48"/>
      <c r="E42" s="49"/>
      <c r="F42" s="50"/>
      <c r="G42" s="51"/>
      <c r="H42" s="51"/>
      <c r="I42" s="52"/>
      <c r="J42" s="47"/>
      <c r="K42" s="51"/>
      <c r="L42" s="89"/>
      <c r="M42" s="52"/>
      <c r="O42" s="26">
        <f>IF(F36=0,0,G36/F36)</f>
        <v>0</v>
      </c>
      <c r="P42" s="26">
        <f>IF(F36=0,0,H36/F36)</f>
        <v>0</v>
      </c>
      <c r="Q42" s="26">
        <f>IF(F36=0,0,I36/F36)</f>
        <v>0</v>
      </c>
    </row>
    <row r="43" spans="1:13" ht="15.75">
      <c r="A43" s="38" t="s">
        <v>84</v>
      </c>
      <c r="B43" s="90">
        <f>PA-B38</f>
        <v>22408.83</v>
      </c>
      <c r="C43" s="74">
        <f>PA1-C38</f>
        <v>7438.83</v>
      </c>
      <c r="D43" s="74">
        <f>PA12-D38</f>
        <v>0</v>
      </c>
      <c r="E43" s="75">
        <f>PA13-E38</f>
        <v>0</v>
      </c>
      <c r="F43" s="91">
        <f>PB-F38</f>
        <v>0</v>
      </c>
      <c r="G43" s="74">
        <f>PB1-G38</f>
        <v>0</v>
      </c>
      <c r="H43" s="74">
        <f>PB2-H38</f>
        <v>0</v>
      </c>
      <c r="I43" s="75">
        <f>PB3-I38</f>
        <v>0</v>
      </c>
      <c r="J43" s="90">
        <f>PC-J38</f>
        <v>0</v>
      </c>
      <c r="K43" s="74">
        <f>PC1-K38</f>
        <v>0</v>
      </c>
      <c r="L43" s="74">
        <f>PC2-L38</f>
        <v>0</v>
      </c>
      <c r="M43" s="75">
        <f>PC3-M38</f>
        <v>0</v>
      </c>
    </row>
    <row r="44" spans="1:13" ht="15.75">
      <c r="A44" s="92"/>
      <c r="B44" s="47"/>
      <c r="C44" s="79"/>
      <c r="D44" s="79"/>
      <c r="E44" s="80"/>
      <c r="F44" s="50"/>
      <c r="G44" s="79"/>
      <c r="H44" s="79"/>
      <c r="I44" s="80"/>
      <c r="J44" s="78"/>
      <c r="K44" s="93"/>
      <c r="L44" s="94"/>
      <c r="M44" s="95"/>
    </row>
    <row r="45" spans="1:15" ht="15.75">
      <c r="A45" s="77" t="s">
        <v>85</v>
      </c>
      <c r="B45" s="55">
        <f>SUM(B46:B63)</f>
        <v>0</v>
      </c>
      <c r="C45" s="56">
        <f>SUM(C46:C63)</f>
        <v>0</v>
      </c>
      <c r="D45" s="56">
        <f>SUM(D46:D63)</f>
        <v>0</v>
      </c>
      <c r="E45" s="57">
        <f>SUM(E46:E63)</f>
        <v>0</v>
      </c>
      <c r="F45" s="58">
        <f>SUM(F46:F63)</f>
        <v>0</v>
      </c>
      <c r="G45" s="56">
        <f aca="true" t="shared" si="10" ref="G45:M45">SUM(G46:G63)</f>
        <v>0</v>
      </c>
      <c r="H45" s="56">
        <f t="shared" si="10"/>
        <v>0</v>
      </c>
      <c r="I45" s="57">
        <f t="shared" si="10"/>
        <v>0</v>
      </c>
      <c r="J45" s="55">
        <f t="shared" si="10"/>
        <v>0</v>
      </c>
      <c r="K45" s="56">
        <f t="shared" si="10"/>
        <v>0</v>
      </c>
      <c r="L45" s="56">
        <f t="shared" si="10"/>
        <v>0</v>
      </c>
      <c r="M45" s="57">
        <f t="shared" si="10"/>
        <v>0</v>
      </c>
      <c r="O45" s="27" t="s">
        <v>86</v>
      </c>
    </row>
    <row r="46" spans="1:17" ht="15">
      <c r="A46" s="59" t="s">
        <v>87</v>
      </c>
      <c r="B46" s="96">
        <f>SUM(C46:E46)</f>
        <v>0</v>
      </c>
      <c r="C46" s="68">
        <v>0</v>
      </c>
      <c r="D46" s="68">
        <v>0</v>
      </c>
      <c r="E46" s="69">
        <v>0</v>
      </c>
      <c r="F46" s="97">
        <f>SUM(G46:I46)</f>
        <v>0</v>
      </c>
      <c r="G46" s="68">
        <v>0</v>
      </c>
      <c r="H46" s="68">
        <v>0</v>
      </c>
      <c r="I46" s="69">
        <v>0</v>
      </c>
      <c r="J46" s="96">
        <f>SUM(K46:M46)</f>
        <v>0</v>
      </c>
      <c r="K46" s="68">
        <v>0</v>
      </c>
      <c r="L46" s="68">
        <v>0</v>
      </c>
      <c r="M46" s="69">
        <v>0</v>
      </c>
      <c r="O46" s="26">
        <f>IF(J36=0,0,K36/J36)</f>
        <v>0</v>
      </c>
      <c r="P46" s="26">
        <f>IF(J36=0,0,L36/J36)</f>
        <v>0</v>
      </c>
      <c r="Q46" s="26">
        <f>IF(J36=0,0,M36/J36)</f>
        <v>0</v>
      </c>
    </row>
    <row r="47" spans="1:13" ht="15">
      <c r="A47" s="59" t="s">
        <v>88</v>
      </c>
      <c r="B47" s="96">
        <f>SUM(C47:E47)</f>
        <v>0</v>
      </c>
      <c r="C47" s="68">
        <v>0</v>
      </c>
      <c r="D47" s="68">
        <v>0</v>
      </c>
      <c r="E47" s="69">
        <v>0</v>
      </c>
      <c r="F47" s="97">
        <f aca="true" t="shared" si="11" ref="F47:F63">SUM(G47:I47)</f>
        <v>0</v>
      </c>
      <c r="G47" s="68">
        <v>0</v>
      </c>
      <c r="H47" s="68">
        <v>0</v>
      </c>
      <c r="I47" s="69">
        <v>0</v>
      </c>
      <c r="J47" s="96">
        <f aca="true" t="shared" si="12" ref="J47:J63">SUM(K47:M47)</f>
        <v>0</v>
      </c>
      <c r="K47" s="68">
        <v>0</v>
      </c>
      <c r="L47" s="68">
        <v>0</v>
      </c>
      <c r="M47" s="69">
        <v>0</v>
      </c>
    </row>
    <row r="48" spans="1:13" ht="15">
      <c r="A48" s="59" t="s">
        <v>89</v>
      </c>
      <c r="B48" s="96">
        <f aca="true" t="shared" si="13" ref="B48:B63">SUM(C48:E48)</f>
        <v>0</v>
      </c>
      <c r="C48" s="68">
        <v>0</v>
      </c>
      <c r="D48" s="68">
        <v>0</v>
      </c>
      <c r="E48" s="69">
        <v>0</v>
      </c>
      <c r="F48" s="97">
        <f t="shared" si="11"/>
        <v>0</v>
      </c>
      <c r="G48" s="68">
        <v>0</v>
      </c>
      <c r="H48" s="68">
        <v>0</v>
      </c>
      <c r="I48" s="69">
        <v>0</v>
      </c>
      <c r="J48" s="96">
        <f t="shared" si="12"/>
        <v>0</v>
      </c>
      <c r="K48" s="68">
        <v>0</v>
      </c>
      <c r="L48" s="68">
        <v>0</v>
      </c>
      <c r="M48" s="69">
        <v>0</v>
      </c>
    </row>
    <row r="49" spans="1:13" ht="15">
      <c r="A49" s="59" t="s">
        <v>90</v>
      </c>
      <c r="B49" s="96">
        <f t="shared" si="13"/>
        <v>0</v>
      </c>
      <c r="C49" s="68">
        <v>0</v>
      </c>
      <c r="D49" s="68">
        <v>0</v>
      </c>
      <c r="E49" s="69">
        <v>0</v>
      </c>
      <c r="F49" s="97">
        <f t="shared" si="11"/>
        <v>0</v>
      </c>
      <c r="G49" s="68">
        <v>0</v>
      </c>
      <c r="H49" s="68">
        <v>0</v>
      </c>
      <c r="I49" s="69">
        <v>0</v>
      </c>
      <c r="J49" s="96">
        <f t="shared" si="12"/>
        <v>0</v>
      </c>
      <c r="K49" s="68">
        <v>0</v>
      </c>
      <c r="L49" s="68">
        <v>0</v>
      </c>
      <c r="M49" s="69">
        <v>0</v>
      </c>
    </row>
    <row r="50" spans="1:13" ht="15">
      <c r="A50" s="59" t="s">
        <v>91</v>
      </c>
      <c r="B50" s="96">
        <f t="shared" si="13"/>
        <v>0</v>
      </c>
      <c r="C50" s="68">
        <v>0</v>
      </c>
      <c r="D50" s="68">
        <v>0</v>
      </c>
      <c r="E50" s="69">
        <v>0</v>
      </c>
      <c r="F50" s="97">
        <f t="shared" si="11"/>
        <v>0</v>
      </c>
      <c r="G50" s="68">
        <v>0</v>
      </c>
      <c r="H50" s="68">
        <v>0</v>
      </c>
      <c r="I50" s="69">
        <v>0</v>
      </c>
      <c r="J50" s="96">
        <f t="shared" si="12"/>
        <v>0</v>
      </c>
      <c r="K50" s="68">
        <v>0</v>
      </c>
      <c r="L50" s="68">
        <v>0</v>
      </c>
      <c r="M50" s="69">
        <v>0</v>
      </c>
    </row>
    <row r="51" spans="1:13" ht="15">
      <c r="A51" s="59" t="s">
        <v>92</v>
      </c>
      <c r="B51" s="96">
        <f t="shared" si="13"/>
        <v>0</v>
      </c>
      <c r="C51" s="68">
        <v>0</v>
      </c>
      <c r="D51" s="68">
        <v>0</v>
      </c>
      <c r="E51" s="69">
        <v>0</v>
      </c>
      <c r="F51" s="97">
        <f t="shared" si="11"/>
        <v>0</v>
      </c>
      <c r="G51" s="68">
        <v>0</v>
      </c>
      <c r="H51" s="68">
        <v>0</v>
      </c>
      <c r="I51" s="69">
        <v>0</v>
      </c>
      <c r="J51" s="96">
        <f t="shared" si="12"/>
        <v>0</v>
      </c>
      <c r="K51" s="68">
        <v>0</v>
      </c>
      <c r="L51" s="68">
        <v>0</v>
      </c>
      <c r="M51" s="69">
        <v>0</v>
      </c>
    </row>
    <row r="52" spans="1:13" ht="15">
      <c r="A52" s="59" t="s">
        <v>93</v>
      </c>
      <c r="B52" s="96">
        <f t="shared" si="13"/>
        <v>0</v>
      </c>
      <c r="C52" s="68">
        <v>0</v>
      </c>
      <c r="D52" s="68">
        <v>0</v>
      </c>
      <c r="E52" s="69">
        <v>0</v>
      </c>
      <c r="F52" s="97">
        <f t="shared" si="11"/>
        <v>0</v>
      </c>
      <c r="G52" s="68">
        <v>0</v>
      </c>
      <c r="H52" s="68">
        <v>0</v>
      </c>
      <c r="I52" s="69">
        <v>0</v>
      </c>
      <c r="J52" s="96">
        <f t="shared" si="12"/>
        <v>0</v>
      </c>
      <c r="K52" s="68">
        <v>0</v>
      </c>
      <c r="L52" s="68">
        <v>0</v>
      </c>
      <c r="M52" s="69">
        <v>0</v>
      </c>
    </row>
    <row r="53" spans="1:13" ht="15">
      <c r="A53" s="59" t="s">
        <v>94</v>
      </c>
      <c r="B53" s="96">
        <f t="shared" si="13"/>
        <v>0</v>
      </c>
      <c r="C53" s="68">
        <v>0</v>
      </c>
      <c r="D53" s="68">
        <v>0</v>
      </c>
      <c r="E53" s="69">
        <v>0</v>
      </c>
      <c r="F53" s="97">
        <f t="shared" si="11"/>
        <v>0</v>
      </c>
      <c r="G53" s="68">
        <v>0</v>
      </c>
      <c r="H53" s="68">
        <v>0</v>
      </c>
      <c r="I53" s="69">
        <v>0</v>
      </c>
      <c r="J53" s="96">
        <f t="shared" si="12"/>
        <v>0</v>
      </c>
      <c r="K53" s="68">
        <v>0</v>
      </c>
      <c r="L53" s="68">
        <v>0</v>
      </c>
      <c r="M53" s="69">
        <v>0</v>
      </c>
    </row>
    <row r="54" spans="1:13" ht="15">
      <c r="A54" s="59" t="s">
        <v>95</v>
      </c>
      <c r="B54" s="96">
        <f t="shared" si="13"/>
        <v>0</v>
      </c>
      <c r="C54" s="68">
        <v>0</v>
      </c>
      <c r="D54" s="68">
        <v>0</v>
      </c>
      <c r="E54" s="69">
        <v>0</v>
      </c>
      <c r="F54" s="97">
        <f t="shared" si="11"/>
        <v>0</v>
      </c>
      <c r="G54" s="68">
        <v>0</v>
      </c>
      <c r="H54" s="68">
        <v>0</v>
      </c>
      <c r="I54" s="69">
        <v>0</v>
      </c>
      <c r="J54" s="96">
        <f t="shared" si="12"/>
        <v>0</v>
      </c>
      <c r="K54" s="68">
        <v>0</v>
      </c>
      <c r="L54" s="68">
        <v>0</v>
      </c>
      <c r="M54" s="69">
        <v>0</v>
      </c>
    </row>
    <row r="55" spans="1:13" ht="15">
      <c r="A55" s="59" t="s">
        <v>96</v>
      </c>
      <c r="B55" s="96">
        <f t="shared" si="13"/>
        <v>0</v>
      </c>
      <c r="C55" s="68">
        <v>0</v>
      </c>
      <c r="D55" s="68">
        <v>0</v>
      </c>
      <c r="E55" s="69">
        <v>0</v>
      </c>
      <c r="F55" s="97">
        <f t="shared" si="11"/>
        <v>0</v>
      </c>
      <c r="G55" s="68">
        <v>0</v>
      </c>
      <c r="H55" s="68">
        <v>0</v>
      </c>
      <c r="I55" s="69">
        <v>0</v>
      </c>
      <c r="J55" s="96">
        <f t="shared" si="12"/>
        <v>0</v>
      </c>
      <c r="K55" s="68">
        <v>0</v>
      </c>
      <c r="L55" s="68">
        <v>0</v>
      </c>
      <c r="M55" s="69">
        <v>0</v>
      </c>
    </row>
    <row r="56" spans="1:13" ht="15">
      <c r="A56" s="59" t="s">
        <v>97</v>
      </c>
      <c r="B56" s="96">
        <f t="shared" si="13"/>
        <v>0</v>
      </c>
      <c r="C56" s="68">
        <v>0</v>
      </c>
      <c r="D56" s="68">
        <v>0</v>
      </c>
      <c r="E56" s="69">
        <v>0</v>
      </c>
      <c r="F56" s="97">
        <f t="shared" si="11"/>
        <v>0</v>
      </c>
      <c r="G56" s="68">
        <v>0</v>
      </c>
      <c r="H56" s="68">
        <v>0</v>
      </c>
      <c r="I56" s="69">
        <v>0</v>
      </c>
      <c r="J56" s="96">
        <f t="shared" si="12"/>
        <v>0</v>
      </c>
      <c r="K56" s="68">
        <v>0</v>
      </c>
      <c r="L56" s="68">
        <v>0</v>
      </c>
      <c r="M56" s="69">
        <v>0</v>
      </c>
    </row>
    <row r="57" spans="1:14" ht="15">
      <c r="A57" s="59" t="s">
        <v>98</v>
      </c>
      <c r="B57" s="96">
        <f t="shared" si="13"/>
        <v>0</v>
      </c>
      <c r="C57" s="68">
        <v>0</v>
      </c>
      <c r="D57" s="68">
        <v>0</v>
      </c>
      <c r="E57" s="69">
        <v>0</v>
      </c>
      <c r="F57" s="97">
        <f t="shared" si="11"/>
        <v>0</v>
      </c>
      <c r="G57" s="68">
        <v>0</v>
      </c>
      <c r="H57" s="68">
        <v>0</v>
      </c>
      <c r="I57" s="69">
        <v>0</v>
      </c>
      <c r="J57" s="96">
        <f t="shared" si="12"/>
        <v>0</v>
      </c>
      <c r="K57" s="68">
        <v>0</v>
      </c>
      <c r="L57" s="68">
        <v>0</v>
      </c>
      <c r="M57" s="69">
        <v>0</v>
      </c>
      <c r="N57" s="26" t="s">
        <v>39</v>
      </c>
    </row>
    <row r="58" spans="1:13" ht="15">
      <c r="A58" s="59" t="s">
        <v>99</v>
      </c>
      <c r="B58" s="96">
        <f t="shared" si="13"/>
        <v>0</v>
      </c>
      <c r="C58" s="68">
        <v>0</v>
      </c>
      <c r="D58" s="68">
        <v>0</v>
      </c>
      <c r="E58" s="69">
        <v>0</v>
      </c>
      <c r="F58" s="97">
        <f t="shared" si="11"/>
        <v>0</v>
      </c>
      <c r="G58" s="68">
        <v>0</v>
      </c>
      <c r="H58" s="68">
        <v>0</v>
      </c>
      <c r="I58" s="69">
        <v>0</v>
      </c>
      <c r="J58" s="96">
        <f t="shared" si="12"/>
        <v>0</v>
      </c>
      <c r="K58" s="68">
        <v>0</v>
      </c>
      <c r="L58" s="68">
        <v>0</v>
      </c>
      <c r="M58" s="69">
        <v>0</v>
      </c>
    </row>
    <row r="59" spans="1:13" ht="15">
      <c r="A59" s="59" t="s">
        <v>100</v>
      </c>
      <c r="B59" s="96">
        <f t="shared" si="13"/>
        <v>0</v>
      </c>
      <c r="C59" s="68">
        <v>0</v>
      </c>
      <c r="D59" s="68">
        <v>0</v>
      </c>
      <c r="E59" s="69">
        <v>0</v>
      </c>
      <c r="F59" s="97">
        <f t="shared" si="11"/>
        <v>0</v>
      </c>
      <c r="G59" s="68">
        <v>0</v>
      </c>
      <c r="H59" s="68">
        <v>0</v>
      </c>
      <c r="I59" s="69">
        <v>0</v>
      </c>
      <c r="J59" s="96">
        <f t="shared" si="12"/>
        <v>0</v>
      </c>
      <c r="K59" s="68">
        <v>0</v>
      </c>
      <c r="L59" s="68">
        <v>0</v>
      </c>
      <c r="M59" s="69">
        <v>0</v>
      </c>
    </row>
    <row r="60" spans="1:13" ht="15">
      <c r="A60" s="59" t="s">
        <v>101</v>
      </c>
      <c r="B60" s="96">
        <f t="shared" si="13"/>
        <v>0</v>
      </c>
      <c r="C60" s="68">
        <v>0</v>
      </c>
      <c r="D60" s="68">
        <v>0</v>
      </c>
      <c r="E60" s="69">
        <v>0</v>
      </c>
      <c r="F60" s="97">
        <f t="shared" si="11"/>
        <v>0</v>
      </c>
      <c r="G60" s="68">
        <v>0</v>
      </c>
      <c r="H60" s="68">
        <v>0</v>
      </c>
      <c r="I60" s="69">
        <v>0</v>
      </c>
      <c r="J60" s="96">
        <f t="shared" si="12"/>
        <v>0</v>
      </c>
      <c r="K60" s="68">
        <v>0</v>
      </c>
      <c r="L60" s="68">
        <v>0</v>
      </c>
      <c r="M60" s="69">
        <v>0</v>
      </c>
    </row>
    <row r="61" spans="1:13" ht="15">
      <c r="A61" s="59" t="s">
        <v>102</v>
      </c>
      <c r="B61" s="96">
        <f t="shared" si="13"/>
        <v>0</v>
      </c>
      <c r="C61" s="68">
        <v>0</v>
      </c>
      <c r="D61" s="68">
        <v>0</v>
      </c>
      <c r="E61" s="69">
        <v>0</v>
      </c>
      <c r="F61" s="97">
        <f t="shared" si="11"/>
        <v>0</v>
      </c>
      <c r="G61" s="68">
        <v>0</v>
      </c>
      <c r="H61" s="68">
        <v>0</v>
      </c>
      <c r="I61" s="69">
        <v>0</v>
      </c>
      <c r="J61" s="96">
        <f t="shared" si="12"/>
        <v>0</v>
      </c>
      <c r="K61" s="68">
        <v>0</v>
      </c>
      <c r="L61" s="68">
        <v>0</v>
      </c>
      <c r="M61" s="69">
        <v>0</v>
      </c>
    </row>
    <row r="62" spans="1:13" ht="15">
      <c r="A62" s="59" t="s">
        <v>103</v>
      </c>
      <c r="B62" s="96">
        <f t="shared" si="13"/>
        <v>0</v>
      </c>
      <c r="C62" s="68">
        <v>0</v>
      </c>
      <c r="D62" s="68">
        <v>0</v>
      </c>
      <c r="E62" s="69">
        <v>0</v>
      </c>
      <c r="F62" s="97">
        <f t="shared" si="11"/>
        <v>0</v>
      </c>
      <c r="G62" s="68">
        <v>0</v>
      </c>
      <c r="H62" s="68">
        <v>0</v>
      </c>
      <c r="I62" s="69">
        <v>0</v>
      </c>
      <c r="J62" s="96">
        <f t="shared" si="12"/>
        <v>0</v>
      </c>
      <c r="K62" s="68">
        <v>0</v>
      </c>
      <c r="L62" s="68">
        <v>0</v>
      </c>
      <c r="M62" s="69">
        <v>0</v>
      </c>
    </row>
    <row r="63" spans="1:13" ht="15">
      <c r="A63" s="59" t="s">
        <v>104</v>
      </c>
      <c r="B63" s="96">
        <f t="shared" si="13"/>
        <v>0</v>
      </c>
      <c r="C63" s="68">
        <v>0</v>
      </c>
      <c r="D63" s="68"/>
      <c r="E63" s="69">
        <v>0</v>
      </c>
      <c r="F63" s="97">
        <f t="shared" si="11"/>
        <v>0</v>
      </c>
      <c r="G63" s="68">
        <v>0</v>
      </c>
      <c r="H63" s="68">
        <v>0</v>
      </c>
      <c r="I63" s="69">
        <v>0</v>
      </c>
      <c r="J63" s="96">
        <f t="shared" si="12"/>
        <v>0</v>
      </c>
      <c r="K63" s="68">
        <v>0</v>
      </c>
      <c r="L63" s="68">
        <v>0</v>
      </c>
      <c r="M63" s="69">
        <v>0</v>
      </c>
    </row>
    <row r="64" spans="1:13" ht="15.75">
      <c r="A64" s="59"/>
      <c r="B64" s="47"/>
      <c r="C64" s="48"/>
      <c r="D64" s="48"/>
      <c r="E64" s="49"/>
      <c r="F64" s="50"/>
      <c r="G64" s="51"/>
      <c r="H64" s="51"/>
      <c r="I64" s="52"/>
      <c r="J64" s="47"/>
      <c r="K64" s="51"/>
      <c r="L64" s="51"/>
      <c r="M64" s="52"/>
    </row>
    <row r="65" spans="1:13" ht="15.75">
      <c r="A65" s="72" t="s">
        <v>105</v>
      </c>
      <c r="B65" s="90">
        <f aca="true" t="shared" si="14" ref="B65:M65">B43-SUM(B46:B63)</f>
        <v>22408.83</v>
      </c>
      <c r="C65" s="74">
        <f t="shared" si="14"/>
        <v>7438.83</v>
      </c>
      <c r="D65" s="74">
        <f t="shared" si="14"/>
        <v>0</v>
      </c>
      <c r="E65" s="75">
        <f>E43-SUM(E46:E63)</f>
        <v>0</v>
      </c>
      <c r="F65" s="91">
        <f t="shared" si="14"/>
        <v>0</v>
      </c>
      <c r="G65" s="74">
        <f t="shared" si="14"/>
        <v>0</v>
      </c>
      <c r="H65" s="74">
        <f t="shared" si="14"/>
        <v>0</v>
      </c>
      <c r="I65" s="75">
        <f t="shared" si="14"/>
        <v>0</v>
      </c>
      <c r="J65" s="73">
        <f t="shared" si="14"/>
        <v>0</v>
      </c>
      <c r="K65" s="74">
        <f t="shared" si="14"/>
        <v>0</v>
      </c>
      <c r="L65" s="74">
        <f t="shared" si="14"/>
        <v>0</v>
      </c>
      <c r="M65" s="75">
        <f t="shared" si="14"/>
        <v>0</v>
      </c>
    </row>
    <row r="66" spans="1:13" ht="15.75">
      <c r="A66" s="77"/>
      <c r="B66" s="47"/>
      <c r="C66" s="48"/>
      <c r="D66" s="48"/>
      <c r="E66" s="49"/>
      <c r="F66" s="50"/>
      <c r="G66" s="51"/>
      <c r="H66" s="51"/>
      <c r="I66" s="52"/>
      <c r="J66" s="47"/>
      <c r="K66" s="51"/>
      <c r="L66" s="53"/>
      <c r="M66" s="52"/>
    </row>
    <row r="67" spans="1:13" ht="15">
      <c r="A67" s="77" t="s">
        <v>106</v>
      </c>
      <c r="B67" s="47"/>
      <c r="C67" s="48"/>
      <c r="D67" s="48"/>
      <c r="E67" s="49"/>
      <c r="F67" s="50"/>
      <c r="G67" s="51"/>
      <c r="H67" s="51"/>
      <c r="I67" s="52"/>
      <c r="J67" s="47"/>
      <c r="K67" s="51"/>
      <c r="L67" s="51"/>
      <c r="M67" s="52"/>
    </row>
    <row r="68" spans="1:13" ht="15">
      <c r="A68" s="59" t="s">
        <v>107</v>
      </c>
      <c r="B68" s="55">
        <f>SUM(C68:E68)</f>
        <v>0</v>
      </c>
      <c r="C68" s="60">
        <v>0</v>
      </c>
      <c r="D68" s="60">
        <v>0</v>
      </c>
      <c r="E68" s="61">
        <v>0</v>
      </c>
      <c r="F68" s="58">
        <f>G68+H68+I68</f>
        <v>0</v>
      </c>
      <c r="G68" s="60">
        <v>0</v>
      </c>
      <c r="H68" s="60">
        <v>0</v>
      </c>
      <c r="I68" s="61">
        <v>0</v>
      </c>
      <c r="J68" s="55">
        <f>K68+L68+M68</f>
        <v>0</v>
      </c>
      <c r="K68" s="60">
        <v>0</v>
      </c>
      <c r="L68" s="60">
        <v>0</v>
      </c>
      <c r="M68" s="61">
        <v>0</v>
      </c>
    </row>
    <row r="69" spans="1:13" ht="15">
      <c r="A69" s="59"/>
      <c r="B69" s="47"/>
      <c r="C69" s="48"/>
      <c r="D69" s="48"/>
      <c r="E69" s="49"/>
      <c r="F69" s="50"/>
      <c r="G69" s="51"/>
      <c r="H69" s="51"/>
      <c r="I69" s="52"/>
      <c r="J69" s="47"/>
      <c r="K69" s="51"/>
      <c r="L69" s="51"/>
      <c r="M69" s="52"/>
    </row>
    <row r="70" spans="1:15" ht="15">
      <c r="A70" s="77" t="s">
        <v>108</v>
      </c>
      <c r="B70" s="47"/>
      <c r="C70" s="48"/>
      <c r="D70" s="48"/>
      <c r="E70" s="49"/>
      <c r="F70" s="50"/>
      <c r="G70" s="51"/>
      <c r="H70" s="51"/>
      <c r="I70" s="52"/>
      <c r="J70" s="47"/>
      <c r="K70" s="51"/>
      <c r="L70" s="51"/>
      <c r="M70" s="52"/>
      <c r="O70" s="28"/>
    </row>
    <row r="71" spans="1:15" ht="17.25">
      <c r="A71" s="98" t="s">
        <v>109</v>
      </c>
      <c r="B71" s="55">
        <f aca="true" t="shared" si="15" ref="B71:M71">SUM(B72:B75)</f>
        <v>69097.1936</v>
      </c>
      <c r="C71" s="56">
        <f t="shared" si="15"/>
        <v>31671.92</v>
      </c>
      <c r="D71" s="56">
        <f t="shared" si="15"/>
        <v>0</v>
      </c>
      <c r="E71" s="57">
        <f t="shared" si="15"/>
        <v>0</v>
      </c>
      <c r="F71" s="58">
        <f t="shared" si="15"/>
        <v>0</v>
      </c>
      <c r="G71" s="56">
        <f t="shared" si="15"/>
        <v>0</v>
      </c>
      <c r="H71" s="56">
        <f t="shared" si="15"/>
        <v>0</v>
      </c>
      <c r="I71" s="57">
        <f t="shared" si="15"/>
        <v>0</v>
      </c>
      <c r="J71" s="55">
        <f t="shared" si="15"/>
        <v>0</v>
      </c>
      <c r="K71" s="56">
        <f t="shared" si="15"/>
        <v>0</v>
      </c>
      <c r="L71" s="56">
        <f t="shared" si="15"/>
        <v>0</v>
      </c>
      <c r="M71" s="57">
        <f t="shared" si="15"/>
        <v>0</v>
      </c>
      <c r="O71" s="28"/>
    </row>
    <row r="72" spans="1:15" ht="15">
      <c r="A72" s="59" t="s">
        <v>110</v>
      </c>
      <c r="B72" s="55">
        <f>Salaires!H9</f>
        <v>0</v>
      </c>
      <c r="C72" s="62">
        <f>B72</f>
        <v>0</v>
      </c>
      <c r="D72" s="51"/>
      <c r="E72" s="52"/>
      <c r="F72" s="58">
        <f>Salaires!H24+Salaires!H25</f>
        <v>0</v>
      </c>
      <c r="G72" s="99">
        <f>F72</f>
        <v>0</v>
      </c>
      <c r="H72" s="51"/>
      <c r="I72" s="52"/>
      <c r="J72" s="55">
        <f>Salaires!H40+Salaires!H41</f>
        <v>0</v>
      </c>
      <c r="K72" s="62">
        <f>J72</f>
        <v>0</v>
      </c>
      <c r="L72" s="51"/>
      <c r="M72" s="52"/>
      <c r="O72" s="28"/>
    </row>
    <row r="73" spans="1:15" ht="15">
      <c r="A73" s="59" t="s">
        <v>111</v>
      </c>
      <c r="B73" s="55">
        <f>Salaires!H10</f>
        <v>0</v>
      </c>
      <c r="C73" s="51"/>
      <c r="D73" s="62">
        <f>B73</f>
        <v>0</v>
      </c>
      <c r="E73" s="52"/>
      <c r="F73" s="58">
        <f>Salaires!H26</f>
        <v>0</v>
      </c>
      <c r="G73" s="51"/>
      <c r="H73" s="62">
        <f>F73</f>
        <v>0</v>
      </c>
      <c r="I73" s="52"/>
      <c r="J73" s="55">
        <f>Salaires!H42</f>
        <v>0</v>
      </c>
      <c r="K73" s="51"/>
      <c r="L73" s="62">
        <f>J73</f>
        <v>0</v>
      </c>
      <c r="M73" s="52"/>
      <c r="O73" s="28"/>
    </row>
    <row r="74" spans="1:15" ht="15">
      <c r="A74" s="59" t="s">
        <v>112</v>
      </c>
      <c r="B74" s="55">
        <f>Salaires!H13</f>
        <v>31671.92</v>
      </c>
      <c r="C74" s="55">
        <f>Salaires!H13</f>
        <v>31671.92</v>
      </c>
      <c r="E74" s="52"/>
      <c r="F74" s="58">
        <f>Salaires!H29</f>
        <v>0</v>
      </c>
      <c r="G74" s="62">
        <f>F74</f>
        <v>0</v>
      </c>
      <c r="I74" s="52"/>
      <c r="J74" s="55">
        <f>Salaires!H45</f>
        <v>0</v>
      </c>
      <c r="K74" s="62">
        <f>J74</f>
        <v>0</v>
      </c>
      <c r="M74" s="52"/>
      <c r="O74" s="28"/>
    </row>
    <row r="75" spans="1:15" ht="15">
      <c r="A75" s="59" t="s">
        <v>113</v>
      </c>
      <c r="B75" s="55">
        <f>Salaires!H14</f>
        <v>37425.2736</v>
      </c>
      <c r="C75" s="68">
        <v>0</v>
      </c>
      <c r="D75" s="68">
        <v>0</v>
      </c>
      <c r="E75" s="69">
        <v>0</v>
      </c>
      <c r="F75" s="58">
        <f>Salaires!H30</f>
        <v>0</v>
      </c>
      <c r="G75" s="68">
        <v>0</v>
      </c>
      <c r="H75" s="68">
        <v>0</v>
      </c>
      <c r="I75" s="69">
        <v>0</v>
      </c>
      <c r="J75" s="55">
        <f>Salaires!H46</f>
        <v>0</v>
      </c>
      <c r="K75" s="68">
        <v>0</v>
      </c>
      <c r="L75" s="68">
        <v>0</v>
      </c>
      <c r="M75" s="69">
        <v>0</v>
      </c>
      <c r="O75" s="28"/>
    </row>
    <row r="76" spans="1:15" ht="15">
      <c r="A76" s="59"/>
      <c r="B76" s="63"/>
      <c r="C76" s="48"/>
      <c r="D76" s="48"/>
      <c r="E76" s="49"/>
      <c r="F76" s="50"/>
      <c r="G76" s="48"/>
      <c r="H76" s="48"/>
      <c r="I76" s="49"/>
      <c r="J76" s="47"/>
      <c r="K76" s="48"/>
      <c r="L76" s="48"/>
      <c r="M76" s="49"/>
      <c r="O76" s="28"/>
    </row>
    <row r="77" spans="1:15" ht="17.25">
      <c r="A77" s="98" t="s">
        <v>114</v>
      </c>
      <c r="B77" s="100"/>
      <c r="C77" s="51"/>
      <c r="D77" s="48"/>
      <c r="E77" s="49"/>
      <c r="F77" s="50"/>
      <c r="G77" s="51"/>
      <c r="H77" s="51"/>
      <c r="I77" s="52"/>
      <c r="J77" s="47"/>
      <c r="K77" s="51"/>
      <c r="L77" s="51"/>
      <c r="M77" s="52"/>
      <c r="O77" s="28"/>
    </row>
    <row r="78" spans="1:13" ht="15">
      <c r="A78" s="59" t="s">
        <v>115</v>
      </c>
      <c r="B78" s="55">
        <f>Salaires!H12</f>
        <v>0</v>
      </c>
      <c r="C78" s="68">
        <v>0</v>
      </c>
      <c r="D78" s="68">
        <v>0</v>
      </c>
      <c r="E78" s="69">
        <v>0</v>
      </c>
      <c r="F78" s="58">
        <f>Salaires!H28</f>
        <v>0</v>
      </c>
      <c r="G78" s="68">
        <v>0</v>
      </c>
      <c r="H78" s="68">
        <v>0</v>
      </c>
      <c r="I78" s="69">
        <v>0</v>
      </c>
      <c r="J78" s="55">
        <f>Salaires!H44</f>
        <v>0</v>
      </c>
      <c r="K78" s="68">
        <v>0</v>
      </c>
      <c r="L78" s="68">
        <v>0</v>
      </c>
      <c r="M78" s="69">
        <v>0</v>
      </c>
    </row>
    <row r="79" spans="1:14" ht="17.25">
      <c r="A79" s="98" t="s">
        <v>116</v>
      </c>
      <c r="B79" s="100"/>
      <c r="C79" s="51"/>
      <c r="D79" s="51"/>
      <c r="E79" s="52"/>
      <c r="F79" s="70"/>
      <c r="G79" s="51"/>
      <c r="H79" s="51"/>
      <c r="I79" s="52"/>
      <c r="J79" s="63"/>
      <c r="K79" s="51"/>
      <c r="L79" s="51"/>
      <c r="M79" s="52"/>
      <c r="N79" s="101"/>
    </row>
    <row r="80" spans="1:13" ht="15">
      <c r="A80" s="59" t="s">
        <v>117</v>
      </c>
      <c r="B80" s="55">
        <f>Salaires!H11</f>
        <v>0</v>
      </c>
      <c r="C80" s="68">
        <v>0</v>
      </c>
      <c r="D80" s="68">
        <v>0</v>
      </c>
      <c r="E80" s="69">
        <v>0</v>
      </c>
      <c r="F80" s="58">
        <f>Salaires!H27</f>
        <v>0</v>
      </c>
      <c r="G80" s="68">
        <v>0</v>
      </c>
      <c r="H80" s="68">
        <v>0</v>
      </c>
      <c r="I80" s="69">
        <v>0</v>
      </c>
      <c r="J80" s="55">
        <f>Salaires!H43</f>
        <v>0</v>
      </c>
      <c r="K80" s="68">
        <v>0</v>
      </c>
      <c r="L80" s="68">
        <v>0</v>
      </c>
      <c r="M80" s="69">
        <v>0</v>
      </c>
    </row>
    <row r="81" spans="1:13" ht="15">
      <c r="A81" s="59" t="s">
        <v>118</v>
      </c>
      <c r="B81" s="55">
        <f>Salaires!H15</f>
        <v>0</v>
      </c>
      <c r="C81" s="68">
        <v>0</v>
      </c>
      <c r="D81" s="68">
        <v>0</v>
      </c>
      <c r="E81" s="69">
        <v>0</v>
      </c>
      <c r="F81" s="58">
        <f>Salaires!H31</f>
        <v>0</v>
      </c>
      <c r="G81" s="68">
        <v>0</v>
      </c>
      <c r="H81" s="68">
        <v>0</v>
      </c>
      <c r="I81" s="69">
        <v>0</v>
      </c>
      <c r="J81" s="55">
        <f>Salaires!H47</f>
        <v>0</v>
      </c>
      <c r="K81" s="68">
        <v>0</v>
      </c>
      <c r="L81" s="68">
        <v>0</v>
      </c>
      <c r="M81" s="69">
        <v>0</v>
      </c>
    </row>
    <row r="82" spans="1:14" ht="17.25">
      <c r="A82" s="98" t="s">
        <v>104</v>
      </c>
      <c r="B82" s="100"/>
      <c r="C82" s="51"/>
      <c r="D82" s="51"/>
      <c r="E82" s="52"/>
      <c r="F82" s="70"/>
      <c r="G82" s="51"/>
      <c r="H82" s="51"/>
      <c r="I82" s="52"/>
      <c r="J82" s="63"/>
      <c r="K82" s="51"/>
      <c r="L82" s="51"/>
      <c r="M82" s="52"/>
      <c r="N82" s="101"/>
    </row>
    <row r="83" spans="1:13" ht="15">
      <c r="A83" s="59" t="s">
        <v>119</v>
      </c>
      <c r="B83" s="102"/>
      <c r="C83" s="51"/>
      <c r="D83" s="51"/>
      <c r="E83" s="52"/>
      <c r="F83" s="50"/>
      <c r="G83" s="51"/>
      <c r="H83" s="51"/>
      <c r="I83" s="52"/>
      <c r="J83" s="47"/>
      <c r="K83" s="51"/>
      <c r="L83" s="51"/>
      <c r="M83" s="52"/>
    </row>
    <row r="84" spans="1:13" s="28" customFormat="1" ht="15">
      <c r="A84" s="59" t="s">
        <v>120</v>
      </c>
      <c r="B84" s="55">
        <f>Salaires!B16*41+SUM(B75+B78+B80+B81)*0.03</f>
        <v>1204.758208</v>
      </c>
      <c r="C84" s="68">
        <v>0</v>
      </c>
      <c r="D84" s="68">
        <v>0</v>
      </c>
      <c r="E84" s="69">
        <v>0</v>
      </c>
      <c r="F84" s="58">
        <f>Salaires!B32*41+SUM(F75+F78+F80+F81)*0.03</f>
        <v>0</v>
      </c>
      <c r="G84" s="68">
        <v>0</v>
      </c>
      <c r="H84" s="68">
        <v>0</v>
      </c>
      <c r="I84" s="69">
        <v>0</v>
      </c>
      <c r="J84" s="55">
        <f>Salaires!B48*41+SUM(J75+J78+J80+J81)*0.03</f>
        <v>0</v>
      </c>
      <c r="K84" s="68">
        <v>0</v>
      </c>
      <c r="L84" s="68">
        <v>0</v>
      </c>
      <c r="M84" s="69">
        <v>0</v>
      </c>
    </row>
    <row r="85" spans="1:15" ht="15">
      <c r="A85" s="103"/>
      <c r="B85" s="100"/>
      <c r="C85" s="51"/>
      <c r="D85" s="51"/>
      <c r="E85" s="52"/>
      <c r="F85" s="70"/>
      <c r="G85" s="51"/>
      <c r="H85" s="51"/>
      <c r="I85" s="52"/>
      <c r="J85" s="63"/>
      <c r="K85" s="51"/>
      <c r="L85" s="51"/>
      <c r="M85" s="52"/>
      <c r="N85" s="101"/>
      <c r="O85" s="101"/>
    </row>
    <row r="86" spans="1:13" ht="15.75">
      <c r="A86" s="59"/>
      <c r="B86" s="47"/>
      <c r="C86" s="48"/>
      <c r="D86" s="48"/>
      <c r="E86" s="49"/>
      <c r="F86" s="50"/>
      <c r="G86" s="51"/>
      <c r="H86" s="51"/>
      <c r="I86" s="52"/>
      <c r="J86" s="47"/>
      <c r="K86" s="51"/>
      <c r="L86" s="51"/>
      <c r="M86" s="52"/>
    </row>
    <row r="87" spans="1:13" ht="15.75">
      <c r="A87" s="72" t="s">
        <v>121</v>
      </c>
      <c r="B87" s="90">
        <f aca="true" t="shared" si="16" ref="B87:M87">B65-SUM(B66:B86)</f>
        <v>-116990.31540799998</v>
      </c>
      <c r="C87" s="74">
        <f t="shared" si="16"/>
        <v>-55905.009999999995</v>
      </c>
      <c r="D87" s="74">
        <f t="shared" si="16"/>
        <v>0</v>
      </c>
      <c r="E87" s="75">
        <f t="shared" si="16"/>
        <v>0</v>
      </c>
      <c r="F87" s="91">
        <f t="shared" si="16"/>
        <v>0</v>
      </c>
      <c r="G87" s="74">
        <f t="shared" si="16"/>
        <v>0</v>
      </c>
      <c r="H87" s="74">
        <f t="shared" si="16"/>
        <v>0</v>
      </c>
      <c r="I87" s="75">
        <f t="shared" si="16"/>
        <v>0</v>
      </c>
      <c r="J87" s="73">
        <f t="shared" si="16"/>
        <v>0</v>
      </c>
      <c r="K87" s="74">
        <f t="shared" si="16"/>
        <v>0</v>
      </c>
      <c r="L87" s="74">
        <f t="shared" si="16"/>
        <v>0</v>
      </c>
      <c r="M87" s="75">
        <f t="shared" si="16"/>
        <v>0</v>
      </c>
    </row>
    <row r="88" spans="1:13" ht="15.75">
      <c r="A88" s="77"/>
      <c r="B88" s="47"/>
      <c r="C88" s="79"/>
      <c r="D88" s="79"/>
      <c r="E88" s="80"/>
      <c r="F88" s="50"/>
      <c r="G88" s="104"/>
      <c r="H88" s="104"/>
      <c r="I88" s="105"/>
      <c r="J88" s="47"/>
      <c r="K88" s="104"/>
      <c r="L88" s="106"/>
      <c r="M88" s="105"/>
    </row>
    <row r="89" spans="1:13" ht="15.75">
      <c r="A89" s="77" t="s">
        <v>122</v>
      </c>
      <c r="B89" s="47"/>
      <c r="C89" s="48"/>
      <c r="D89" s="48"/>
      <c r="E89" s="49"/>
      <c r="F89" s="50"/>
      <c r="G89" s="51"/>
      <c r="H89" s="51"/>
      <c r="I89" s="52"/>
      <c r="J89" s="47"/>
      <c r="K89" s="51"/>
      <c r="L89" s="51"/>
      <c r="M89" s="52"/>
    </row>
    <row r="90" spans="1:13" ht="15.75">
      <c r="A90" s="59" t="s">
        <v>123</v>
      </c>
      <c r="B90" s="55">
        <f>SUM(C90:E90)</f>
        <v>0</v>
      </c>
      <c r="C90" s="62">
        <f>'Dotations aux amortissements'!B46</f>
        <v>0</v>
      </c>
      <c r="D90" s="62">
        <f>'Dotations aux amortissements'!C46</f>
        <v>0</v>
      </c>
      <c r="E90" s="107">
        <f>'Dotations aux amortissements'!D46</f>
        <v>0</v>
      </c>
      <c r="F90" s="58">
        <f>SUM(G90:I90)</f>
        <v>0</v>
      </c>
      <c r="G90" s="62">
        <f>'Dotations aux amortissements'!B47</f>
        <v>0</v>
      </c>
      <c r="H90" s="62">
        <f>'Dotations aux amortissements'!C47</f>
        <v>0</v>
      </c>
      <c r="I90" s="107">
        <f>'Dotations aux amortissements'!D47</f>
        <v>0</v>
      </c>
      <c r="J90" s="55">
        <f>SUM(K90:M90)</f>
        <v>0</v>
      </c>
      <c r="K90" s="62">
        <f>'Dotations aux amortissements'!B48</f>
        <v>0</v>
      </c>
      <c r="L90" s="62">
        <f>'Dotations aux amortissements'!C48</f>
        <v>0</v>
      </c>
      <c r="M90" s="107">
        <f>'Dotations aux amortissements'!D48</f>
        <v>0</v>
      </c>
    </row>
    <row r="91" spans="1:13" ht="15.75">
      <c r="A91" s="72" t="s">
        <v>124</v>
      </c>
      <c r="B91" s="90">
        <f>B87-B90</f>
        <v>-116990.31540799998</v>
      </c>
      <c r="C91" s="74">
        <f aca="true" t="shared" si="17" ref="C91:M91">C87-C90</f>
        <v>-55905.009999999995</v>
      </c>
      <c r="D91" s="74">
        <f t="shared" si="17"/>
        <v>0</v>
      </c>
      <c r="E91" s="75">
        <f t="shared" si="17"/>
        <v>0</v>
      </c>
      <c r="F91" s="91">
        <f t="shared" si="17"/>
        <v>0</v>
      </c>
      <c r="G91" s="74">
        <f t="shared" si="17"/>
        <v>0</v>
      </c>
      <c r="H91" s="74">
        <f t="shared" si="17"/>
        <v>0</v>
      </c>
      <c r="I91" s="75">
        <f t="shared" si="17"/>
        <v>0</v>
      </c>
      <c r="J91" s="90">
        <f t="shared" si="17"/>
        <v>0</v>
      </c>
      <c r="K91" s="74">
        <f t="shared" si="17"/>
        <v>0</v>
      </c>
      <c r="L91" s="74">
        <f t="shared" si="17"/>
        <v>0</v>
      </c>
      <c r="M91" s="75">
        <f t="shared" si="17"/>
        <v>0</v>
      </c>
    </row>
    <row r="92" spans="1:13" ht="15">
      <c r="A92" s="108"/>
      <c r="B92" s="47"/>
      <c r="C92" s="79"/>
      <c r="D92" s="79"/>
      <c r="E92" s="80"/>
      <c r="F92" s="50"/>
      <c r="G92" s="104"/>
      <c r="H92" s="104"/>
      <c r="I92" s="105"/>
      <c r="J92" s="47"/>
      <c r="K92" s="104"/>
      <c r="L92" s="106"/>
      <c r="M92" s="105"/>
    </row>
    <row r="93" spans="1:13" ht="15">
      <c r="A93" s="77" t="s">
        <v>125</v>
      </c>
      <c r="B93" s="47"/>
      <c r="C93" s="48"/>
      <c r="D93" s="48"/>
      <c r="E93" s="49"/>
      <c r="F93" s="50"/>
      <c r="G93" s="51"/>
      <c r="H93" s="51"/>
      <c r="I93" s="52"/>
      <c r="J93" s="47"/>
      <c r="K93" s="51"/>
      <c r="L93" s="51"/>
      <c r="M93" s="52"/>
    </row>
    <row r="94" spans="1:13" ht="15">
      <c r="A94" s="59" t="s">
        <v>126</v>
      </c>
      <c r="B94" s="55">
        <f>Emprunt!C192</f>
        <v>0</v>
      </c>
      <c r="C94" s="62">
        <f>IF(B94=0,0,'Plan de financement'!C44/'Plan de financement'!B44*'Compte de résultat'!B94)</f>
        <v>0</v>
      </c>
      <c r="D94" s="62">
        <f>IF(B94=0,0,'Plan de financement'!D44/'Plan de financement'!B44*'Compte de résultat'!B94)</f>
        <v>0</v>
      </c>
      <c r="E94" s="107">
        <f>IF(B94=0,0,'Plan de financement'!E44/'Plan de financement'!B44*'Compte de résultat'!B94)</f>
        <v>0</v>
      </c>
      <c r="F94" s="58">
        <f>Emprunt!D192</f>
        <v>0</v>
      </c>
      <c r="G94" s="62">
        <f>IF(F94+B94=0,0,('Plan de financement'!G44+'Plan de financement'!C44)/('Plan de financement'!B44+'Plan de financement'!F44)*'Compte de résultat'!F94)</f>
        <v>0</v>
      </c>
      <c r="H94" s="62">
        <f>IF(F94+B94=0,0,('Plan de financement'!H44+'Plan de financement'!D44)/('Plan de financement'!B44+'Plan de financement'!F44)*'Compte de résultat'!F94)</f>
        <v>0</v>
      </c>
      <c r="I94" s="107">
        <f>IF(F94+B94=0,0,('Plan de financement'!I44+'Plan de financement'!E44)/('Plan de financement'!B44+'Plan de financement'!F44)*'Compte de résultat'!F94)</f>
        <v>0</v>
      </c>
      <c r="J94" s="55">
        <f>Emprunt!E192</f>
        <v>0</v>
      </c>
      <c r="K94" s="62">
        <f>IF('Plan de financement'!B44+'Plan de financement'!F44+'Plan de financement'!J44=0,0,(('Plan de financement'!C44+'Plan de financement'!G44+'Plan de financement'!K44)/('Plan de financement'!J44+'Plan de financement'!F44+'Plan de financement'!B44)*'Compte de résultat'!J94))</f>
        <v>0</v>
      </c>
      <c r="L94" s="62">
        <f>IF('Plan de financement'!B44+'Plan de financement'!F44+'Plan de financement'!J44=0,0,(('Plan de financement'!D44+'Plan de financement'!H44+'Plan de financement'!L44)/('Plan de financement'!B44+'Plan de financement'!F44+'Plan de financement'!J44)*'Compte de résultat'!J94))</f>
        <v>0</v>
      </c>
      <c r="M94" s="107">
        <f>IF('Plan de financement'!B44+'Plan de financement'!F44+'Plan de financement'!J44=0,0,(('Plan de financement'!E44+'Plan de financement'!I44+'Plan de financement'!M44)/('Plan de financement'!B44+'Plan de financement'!F44+'Plan de financement'!J44)*'Compte de résultat'!J94))</f>
        <v>0</v>
      </c>
    </row>
    <row r="95" spans="1:13" ht="15">
      <c r="A95" s="59"/>
      <c r="B95" s="47"/>
      <c r="C95" s="48"/>
      <c r="D95" s="48"/>
      <c r="E95" s="49"/>
      <c r="F95" s="50"/>
      <c r="G95" s="51"/>
      <c r="H95" s="51"/>
      <c r="I95" s="52"/>
      <c r="J95" s="47"/>
      <c r="K95" s="51"/>
      <c r="L95" s="51"/>
      <c r="M95" s="52"/>
    </row>
    <row r="96" spans="1:13" ht="15">
      <c r="A96" s="59" t="s">
        <v>127</v>
      </c>
      <c r="B96" s="109">
        <v>0</v>
      </c>
      <c r="C96" s="62">
        <f>B96*O40</f>
        <v>0</v>
      </c>
      <c r="D96" s="62">
        <f>B96*P40</f>
        <v>0</v>
      </c>
      <c r="E96" s="107">
        <f>B96*Q40</f>
        <v>0</v>
      </c>
      <c r="F96" s="110"/>
      <c r="G96" s="62">
        <f>F96*O42</f>
        <v>0</v>
      </c>
      <c r="H96" s="62">
        <f>F96*P42</f>
        <v>0</v>
      </c>
      <c r="I96" s="107">
        <f>F96*Q42</f>
        <v>0</v>
      </c>
      <c r="J96" s="109"/>
      <c r="K96" s="62">
        <f>J96*O46</f>
        <v>0</v>
      </c>
      <c r="L96" s="62">
        <f>J96*P46</f>
        <v>0</v>
      </c>
      <c r="M96" s="107">
        <f>J96*Q46</f>
        <v>0</v>
      </c>
    </row>
    <row r="97" spans="1:13" ht="15.75">
      <c r="A97" s="111"/>
      <c r="B97" s="47"/>
      <c r="C97" s="48"/>
      <c r="D97" s="48"/>
      <c r="E97" s="49"/>
      <c r="F97" s="50"/>
      <c r="G97" s="51"/>
      <c r="H97" s="51"/>
      <c r="I97" s="52"/>
      <c r="J97" s="47"/>
      <c r="K97" s="51"/>
      <c r="L97" s="51"/>
      <c r="M97" s="52"/>
    </row>
    <row r="98" spans="1:13" ht="15.75">
      <c r="A98" s="72" t="s">
        <v>128</v>
      </c>
      <c r="B98" s="90">
        <f aca="true" t="shared" si="18" ref="B98:M98">B91-B94-B95-B96</f>
        <v>-116990.31540799998</v>
      </c>
      <c r="C98" s="74">
        <f t="shared" si="18"/>
        <v>-55905.009999999995</v>
      </c>
      <c r="D98" s="74">
        <f t="shared" si="18"/>
        <v>0</v>
      </c>
      <c r="E98" s="75">
        <f t="shared" si="18"/>
        <v>0</v>
      </c>
      <c r="F98" s="91">
        <f t="shared" si="18"/>
        <v>0</v>
      </c>
      <c r="G98" s="74">
        <f t="shared" si="18"/>
        <v>0</v>
      </c>
      <c r="H98" s="74">
        <f t="shared" si="18"/>
        <v>0</v>
      </c>
      <c r="I98" s="75">
        <f t="shared" si="18"/>
        <v>0</v>
      </c>
      <c r="J98" s="73">
        <f t="shared" si="18"/>
        <v>0</v>
      </c>
      <c r="K98" s="74">
        <f t="shared" si="18"/>
        <v>0</v>
      </c>
      <c r="L98" s="74">
        <f t="shared" si="18"/>
        <v>0</v>
      </c>
      <c r="M98" s="75">
        <f t="shared" si="18"/>
        <v>0</v>
      </c>
    </row>
    <row r="99" spans="1:13" ht="15.75">
      <c r="A99" s="59" t="s">
        <v>129</v>
      </c>
      <c r="B99" s="109"/>
      <c r="C99" s="48">
        <f>B99*O40</f>
        <v>0</v>
      </c>
      <c r="D99" s="48">
        <f>B99*P40</f>
        <v>0</v>
      </c>
      <c r="E99" s="49">
        <f>B99*Q40</f>
        <v>0</v>
      </c>
      <c r="F99" s="110"/>
      <c r="G99" s="62">
        <f>F99*O42</f>
        <v>0</v>
      </c>
      <c r="H99" s="62">
        <f>F99*P42</f>
        <v>0</v>
      </c>
      <c r="I99" s="107">
        <f>F99*Q42</f>
        <v>0</v>
      </c>
      <c r="J99" s="109"/>
      <c r="K99" s="62">
        <f>J99*O46</f>
        <v>0</v>
      </c>
      <c r="L99" s="62">
        <f>J99*P46</f>
        <v>0</v>
      </c>
      <c r="M99" s="107">
        <f>J99*Q46</f>
        <v>0</v>
      </c>
    </row>
    <row r="100" spans="1:13" ht="15">
      <c r="A100" s="59" t="s">
        <v>130</v>
      </c>
      <c r="B100" s="109"/>
      <c r="C100" s="48">
        <f>B100*O40</f>
        <v>0</v>
      </c>
      <c r="D100" s="48">
        <f>B100*P40</f>
        <v>0</v>
      </c>
      <c r="E100" s="49">
        <f>B100*Q40</f>
        <v>0</v>
      </c>
      <c r="F100" s="110"/>
      <c r="G100" s="62">
        <f>F100*O42</f>
        <v>0</v>
      </c>
      <c r="H100" s="62">
        <f>F100*P42</f>
        <v>0</v>
      </c>
      <c r="I100" s="107">
        <f>F100*Q42</f>
        <v>0</v>
      </c>
      <c r="J100" s="109"/>
      <c r="K100" s="62">
        <f>J100*O46</f>
        <v>0</v>
      </c>
      <c r="L100" s="62">
        <f>J100*P46</f>
        <v>0</v>
      </c>
      <c r="M100" s="107">
        <f>J100*Q46</f>
        <v>0</v>
      </c>
    </row>
    <row r="101" spans="1:13" ht="15.75">
      <c r="A101" s="112" t="s">
        <v>131</v>
      </c>
      <c r="B101" s="55">
        <f>(D98+E98)*0.3436</f>
        <v>0</v>
      </c>
      <c r="C101" s="56"/>
      <c r="D101" s="79">
        <f>D98*0.3436</f>
        <v>0</v>
      </c>
      <c r="E101" s="80">
        <f>E98*0.3436</f>
        <v>0</v>
      </c>
      <c r="F101" s="58">
        <f>(H98+I98)*0.3436</f>
        <v>0</v>
      </c>
      <c r="G101" s="104"/>
      <c r="H101" s="62">
        <f>H98*0.3436</f>
        <v>0</v>
      </c>
      <c r="I101" s="107">
        <f>I98*0.3436</f>
        <v>0</v>
      </c>
      <c r="J101" s="55">
        <f>(L98+M98)*0.3436</f>
        <v>0</v>
      </c>
      <c r="K101" s="104"/>
      <c r="L101" s="62">
        <f>L98*0.3436</f>
        <v>0</v>
      </c>
      <c r="M101" s="107">
        <f>M98*0.3436</f>
        <v>0</v>
      </c>
    </row>
    <row r="102" spans="1:13" ht="15.75">
      <c r="A102" s="72" t="s">
        <v>132</v>
      </c>
      <c r="B102" s="90">
        <f aca="true" t="shared" si="19" ref="B102:M102">B98-B99+B100-B101</f>
        <v>-116990.31540799998</v>
      </c>
      <c r="C102" s="74">
        <f t="shared" si="19"/>
        <v>-55905.009999999995</v>
      </c>
      <c r="D102" s="74">
        <f t="shared" si="19"/>
        <v>0</v>
      </c>
      <c r="E102" s="75">
        <f t="shared" si="19"/>
        <v>0</v>
      </c>
      <c r="F102" s="91">
        <f t="shared" si="19"/>
        <v>0</v>
      </c>
      <c r="G102" s="74">
        <f t="shared" si="19"/>
        <v>0</v>
      </c>
      <c r="H102" s="74">
        <f t="shared" si="19"/>
        <v>0</v>
      </c>
      <c r="I102" s="75">
        <f t="shared" si="19"/>
        <v>0</v>
      </c>
      <c r="J102" s="73">
        <f t="shared" si="19"/>
        <v>0</v>
      </c>
      <c r="K102" s="74">
        <f t="shared" si="19"/>
        <v>0</v>
      </c>
      <c r="L102" s="74">
        <f t="shared" si="19"/>
        <v>0</v>
      </c>
      <c r="M102" s="75">
        <f t="shared" si="19"/>
        <v>0</v>
      </c>
    </row>
    <row r="103" spans="1:13" ht="15.75">
      <c r="A103" s="72" t="s">
        <v>133</v>
      </c>
      <c r="B103" s="113">
        <f>B102+B90</f>
        <v>-116990.31540799998</v>
      </c>
      <c r="C103" s="114">
        <f aca="true" t="shared" si="20" ref="C103:M103">C102+C90</f>
        <v>-55905.009999999995</v>
      </c>
      <c r="D103" s="114">
        <f t="shared" si="20"/>
        <v>0</v>
      </c>
      <c r="E103" s="115">
        <f t="shared" si="20"/>
        <v>0</v>
      </c>
      <c r="F103" s="116">
        <f t="shared" si="20"/>
        <v>0</v>
      </c>
      <c r="G103" s="114">
        <f t="shared" si="20"/>
        <v>0</v>
      </c>
      <c r="H103" s="114">
        <f t="shared" si="20"/>
        <v>0</v>
      </c>
      <c r="I103" s="115">
        <f t="shared" si="20"/>
        <v>0</v>
      </c>
      <c r="J103" s="113">
        <f t="shared" si="20"/>
        <v>0</v>
      </c>
      <c r="K103" s="114">
        <f t="shared" si="20"/>
        <v>0</v>
      </c>
      <c r="L103" s="114">
        <f t="shared" si="20"/>
        <v>0</v>
      </c>
      <c r="M103" s="115">
        <f t="shared" si="20"/>
        <v>0</v>
      </c>
    </row>
    <row r="105" spans="1:10" s="28" customFormat="1" ht="15">
      <c r="A105" s="117"/>
      <c r="B105" s="118"/>
      <c r="F105" s="118"/>
      <c r="J105" s="118"/>
    </row>
    <row r="106" spans="2:10" s="28" customFormat="1" ht="15">
      <c r="B106" s="118"/>
      <c r="F106" s="118"/>
      <c r="J106" s="118"/>
    </row>
    <row r="107" spans="1:10" s="121" customFormat="1" ht="13.5">
      <c r="A107" s="119"/>
      <c r="B107" s="120"/>
      <c r="F107" s="120"/>
      <c r="J107" s="120"/>
    </row>
    <row r="108" spans="2:10" s="121" customFormat="1" ht="13.5">
      <c r="B108" s="120"/>
      <c r="F108" s="120"/>
      <c r="J108" s="120"/>
    </row>
    <row r="109" spans="2:10" s="121" customFormat="1" ht="13.5">
      <c r="B109" s="120"/>
      <c r="F109" s="120"/>
      <c r="J109" s="120"/>
    </row>
  </sheetData>
  <mergeCells count="3">
    <mergeCell ref="B5:E5"/>
    <mergeCell ref="F5:I5"/>
    <mergeCell ref="J5:M5"/>
  </mergeCells>
  <printOptions/>
  <pageMargins left="0.7875" right="0.39375" top="0.5118055555555555" bottom="0.19652777777777777" header="0.5118055555555555" footer="0.5118055555555555"/>
  <pageSetup fitToHeight="1" fitToWidth="1" horizontalDpi="300" verticalDpi="300" orientation="portrait" paperSize="9"/>
  <headerFooter alignWithMargins="0">
    <oddHeader>&amp;CPrévisionnel</oddHead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R142"/>
  <sheetViews>
    <sheetView showGridLines="0" zoomScale="150" zoomScaleNormal="150" workbookViewId="0" topLeftCell="A1">
      <selection activeCell="A19" sqref="A19"/>
    </sheetView>
  </sheetViews>
  <sheetFormatPr defaultColWidth="11.421875" defaultRowHeight="12.75"/>
  <cols>
    <col min="1" max="1" width="40.57421875" style="122" customWidth="1"/>
    <col min="2" max="3" width="15.57421875" style="122" customWidth="1"/>
    <col min="4" max="4" width="16.421875" style="122" customWidth="1"/>
    <col min="5" max="5" width="14.8515625" style="122" customWidth="1"/>
    <col min="6" max="6" width="15.8515625" style="123" customWidth="1"/>
    <col min="7" max="7" width="19.140625" style="123" customWidth="1"/>
    <col min="8" max="8" width="17.28125" style="123" customWidth="1"/>
    <col min="9" max="9" width="14.57421875" style="123" customWidth="1"/>
    <col min="10" max="10" width="14.8515625" style="123" customWidth="1"/>
    <col min="11" max="11" width="17.28125" style="123" customWidth="1"/>
    <col min="12" max="12" width="15.8515625" style="123" customWidth="1"/>
    <col min="13" max="13" width="14.8515625" style="123" customWidth="1"/>
    <col min="14" max="16384" width="11.421875" style="122" customWidth="1"/>
  </cols>
  <sheetData>
    <row r="2" ht="9.75" customHeight="1">
      <c r="C2" s="124"/>
    </row>
    <row r="3" spans="2:13" ht="14.25">
      <c r="B3" s="125" t="s">
        <v>134</v>
      </c>
      <c r="C3" s="125"/>
      <c r="D3" s="125"/>
      <c r="E3" s="125"/>
      <c r="F3" s="126" t="s">
        <v>41</v>
      </c>
      <c r="G3" s="126"/>
      <c r="H3" s="126"/>
      <c r="I3" s="126"/>
      <c r="J3" s="126" t="s">
        <v>42</v>
      </c>
      <c r="K3" s="126"/>
      <c r="L3" s="126"/>
      <c r="M3" s="126"/>
    </row>
    <row r="4" spans="1:13" ht="15.75">
      <c r="A4" s="127"/>
      <c r="B4" s="128" t="s">
        <v>135</v>
      </c>
      <c r="C4" s="129" t="s">
        <v>46</v>
      </c>
      <c r="D4" s="129" t="s">
        <v>47</v>
      </c>
      <c r="E4" s="129" t="s">
        <v>48</v>
      </c>
      <c r="F4" s="130" t="s">
        <v>136</v>
      </c>
      <c r="G4" s="129" t="s">
        <v>46</v>
      </c>
      <c r="H4" s="129" t="s">
        <v>47</v>
      </c>
      <c r="I4" s="129" t="s">
        <v>48</v>
      </c>
      <c r="J4" s="130" t="s">
        <v>137</v>
      </c>
      <c r="K4" s="129" t="s">
        <v>46</v>
      </c>
      <c r="L4" s="129" t="s">
        <v>47</v>
      </c>
      <c r="M4" s="131" t="s">
        <v>48</v>
      </c>
    </row>
    <row r="5" spans="1:13" ht="15">
      <c r="A5" s="132" t="s">
        <v>138</v>
      </c>
      <c r="B5" s="133"/>
      <c r="C5" s="134"/>
      <c r="D5" s="134"/>
      <c r="E5" s="135"/>
      <c r="F5" s="133"/>
      <c r="G5" s="136"/>
      <c r="H5" s="136"/>
      <c r="I5" s="137"/>
      <c r="J5" s="133"/>
      <c r="K5" s="136"/>
      <c r="L5" s="136"/>
      <c r="M5" s="137"/>
    </row>
    <row r="6" spans="1:13" ht="15">
      <c r="A6" s="138"/>
      <c r="B6" s="133"/>
      <c r="C6" s="134"/>
      <c r="D6" s="134"/>
      <c r="E6" s="135"/>
      <c r="F6" s="139"/>
      <c r="G6" s="136"/>
      <c r="H6" s="136"/>
      <c r="I6" s="140"/>
      <c r="J6" s="139"/>
      <c r="K6" s="141"/>
      <c r="L6" s="136"/>
      <c r="M6" s="140"/>
    </row>
    <row r="7" spans="1:13" ht="14.25">
      <c r="A7" s="142" t="s">
        <v>139</v>
      </c>
      <c r="B7" s="143">
        <f>B9+B8</f>
        <v>0</v>
      </c>
      <c r="C7" s="144">
        <f>C9+C8</f>
        <v>0</v>
      </c>
      <c r="D7" s="144">
        <f>D9+D8</f>
        <v>0</v>
      </c>
      <c r="E7" s="145">
        <f>E9+E8</f>
        <v>0</v>
      </c>
      <c r="F7" s="143">
        <f>SUM(F8:F9)</f>
        <v>0</v>
      </c>
      <c r="G7" s="144">
        <f aca="true" t="shared" si="0" ref="G7:M7">SUM(G8:G9)</f>
        <v>0</v>
      </c>
      <c r="H7" s="144">
        <f t="shared" si="0"/>
        <v>0</v>
      </c>
      <c r="I7" s="146">
        <f t="shared" si="0"/>
        <v>0</v>
      </c>
      <c r="J7" s="143">
        <f t="shared" si="0"/>
        <v>0</v>
      </c>
      <c r="K7" s="147">
        <f t="shared" si="0"/>
        <v>0</v>
      </c>
      <c r="L7" s="144">
        <f t="shared" si="0"/>
        <v>0</v>
      </c>
      <c r="M7" s="145">
        <f t="shared" si="0"/>
        <v>0</v>
      </c>
    </row>
    <row r="8" spans="1:16" ht="13.5">
      <c r="A8" s="148" t="s">
        <v>140</v>
      </c>
      <c r="B8" s="143">
        <f>C8+D8+E8</f>
        <v>0</v>
      </c>
      <c r="C8" s="149">
        <v>0</v>
      </c>
      <c r="D8" s="149">
        <v>0</v>
      </c>
      <c r="E8" s="150">
        <v>0</v>
      </c>
      <c r="F8" s="151">
        <f>SUM(G8:I8)</f>
        <v>0</v>
      </c>
      <c r="G8" s="152">
        <v>0</v>
      </c>
      <c r="H8" s="152">
        <v>0</v>
      </c>
      <c r="I8" s="150">
        <v>0</v>
      </c>
      <c r="J8" s="151">
        <f>SUM(K8:M8)</f>
        <v>0</v>
      </c>
      <c r="K8" s="153">
        <v>0</v>
      </c>
      <c r="L8" s="152">
        <v>0</v>
      </c>
      <c r="M8" s="154">
        <v>0</v>
      </c>
      <c r="P8" s="122" t="s">
        <v>82</v>
      </c>
    </row>
    <row r="9" spans="1:18" ht="13.5">
      <c r="A9" s="148" t="s">
        <v>141</v>
      </c>
      <c r="B9" s="143">
        <f>C9+D9+E9</f>
        <v>0</v>
      </c>
      <c r="C9" s="149">
        <v>0</v>
      </c>
      <c r="D9" s="149">
        <v>0</v>
      </c>
      <c r="E9" s="150">
        <v>0</v>
      </c>
      <c r="F9" s="151">
        <f>SUM(G9:I9)</f>
        <v>0</v>
      </c>
      <c r="G9" s="152">
        <v>0</v>
      </c>
      <c r="H9" s="152">
        <v>0</v>
      </c>
      <c r="I9" s="150">
        <v>0</v>
      </c>
      <c r="J9" s="151">
        <f>SUM(K9:M9)</f>
        <v>0</v>
      </c>
      <c r="K9" s="153">
        <v>0</v>
      </c>
      <c r="L9" s="152">
        <v>0</v>
      </c>
      <c r="M9" s="154">
        <v>0</v>
      </c>
      <c r="P9" s="155">
        <f>SUM(C8:C16)/SUM(B8:B16)</f>
        <v>0</v>
      </c>
      <c r="Q9" s="155">
        <f>SUM(D8:D16)/SUM(B8:B16)</f>
        <v>0</v>
      </c>
      <c r="R9" s="155">
        <f>SUM(E8:E16)/SUM(B8:B16)</f>
        <v>0</v>
      </c>
    </row>
    <row r="10" spans="1:13" ht="13.5">
      <c r="A10" s="148"/>
      <c r="B10" s="133"/>
      <c r="C10" s="134"/>
      <c r="D10" s="134"/>
      <c r="E10" s="135"/>
      <c r="F10" s="139"/>
      <c r="G10" s="156"/>
      <c r="H10" s="156"/>
      <c r="I10" s="157"/>
      <c r="J10" s="139"/>
      <c r="K10" s="158"/>
      <c r="L10" s="156"/>
      <c r="M10" s="159"/>
    </row>
    <row r="11" spans="1:16" ht="13.5">
      <c r="A11" s="142" t="s">
        <v>142</v>
      </c>
      <c r="B11" s="143">
        <f>SUM(B12:B16)</f>
        <v>0</v>
      </c>
      <c r="C11" s="160">
        <f>SUM(C12:C16)</f>
        <v>0</v>
      </c>
      <c r="D11" s="160">
        <f>SUM(D12:D16)</f>
        <v>0</v>
      </c>
      <c r="E11" s="160">
        <f>SUM(E12:E16)</f>
        <v>0</v>
      </c>
      <c r="F11" s="151">
        <f>SUM(F12:F16)</f>
        <v>0</v>
      </c>
      <c r="G11" s="144">
        <f aca="true" t="shared" si="1" ref="G11:M11">SUM(G12:G16)</f>
        <v>0</v>
      </c>
      <c r="H11" s="144">
        <f t="shared" si="1"/>
        <v>0</v>
      </c>
      <c r="I11" s="160">
        <f t="shared" si="1"/>
        <v>0</v>
      </c>
      <c r="J11" s="151">
        <f t="shared" si="1"/>
        <v>0</v>
      </c>
      <c r="K11" s="147">
        <f t="shared" si="1"/>
        <v>0</v>
      </c>
      <c r="L11" s="144">
        <f t="shared" si="1"/>
        <v>0</v>
      </c>
      <c r="M11" s="145">
        <f t="shared" si="1"/>
        <v>0</v>
      </c>
      <c r="P11" s="122" t="s">
        <v>143</v>
      </c>
    </row>
    <row r="12" spans="1:18" ht="13.5">
      <c r="A12" s="148" t="s">
        <v>144</v>
      </c>
      <c r="B12" s="143">
        <f>C12+D12+E12</f>
        <v>0</v>
      </c>
      <c r="C12" s="149">
        <v>0</v>
      </c>
      <c r="D12" s="149">
        <v>0</v>
      </c>
      <c r="E12" s="150">
        <v>0</v>
      </c>
      <c r="F12" s="151">
        <f>G12+H12+I12</f>
        <v>0</v>
      </c>
      <c r="G12" s="152">
        <v>0</v>
      </c>
      <c r="H12" s="152">
        <v>0</v>
      </c>
      <c r="I12" s="150">
        <v>0</v>
      </c>
      <c r="J12" s="151">
        <f>K12+L12+M12</f>
        <v>0</v>
      </c>
      <c r="K12" s="153">
        <v>0</v>
      </c>
      <c r="L12" s="152">
        <v>0</v>
      </c>
      <c r="M12" s="150">
        <v>0</v>
      </c>
      <c r="P12" s="161">
        <f>SUM(G12:G13)/SUM(F12:F13)</f>
        <v>0</v>
      </c>
      <c r="Q12" s="155">
        <f>SUM(H12:H13)/SUM(F12:F13)</f>
        <v>0</v>
      </c>
      <c r="R12" s="155">
        <f>SUM(I12:I13)/SUM(F12:F13)</f>
        <v>0</v>
      </c>
    </row>
    <row r="13" spans="1:13" ht="13.5">
      <c r="A13" s="162" t="s">
        <v>145</v>
      </c>
      <c r="B13" s="143">
        <f>C13+D13+E13</f>
        <v>0</v>
      </c>
      <c r="C13" s="149">
        <v>0</v>
      </c>
      <c r="D13" s="149">
        <v>0</v>
      </c>
      <c r="E13" s="150">
        <v>0</v>
      </c>
      <c r="F13" s="151">
        <f>G13+H13+I13</f>
        <v>0</v>
      </c>
      <c r="G13" s="152">
        <v>0</v>
      </c>
      <c r="H13" s="152">
        <v>0</v>
      </c>
      <c r="I13" s="150">
        <v>0</v>
      </c>
      <c r="J13" s="151">
        <f>K13+L13+M13</f>
        <v>0</v>
      </c>
      <c r="K13" s="153">
        <v>0</v>
      </c>
      <c r="L13" s="152">
        <v>0</v>
      </c>
      <c r="M13" s="150">
        <v>0</v>
      </c>
    </row>
    <row r="14" spans="1:16" ht="13.5">
      <c r="A14" s="148" t="s">
        <v>146</v>
      </c>
      <c r="B14" s="143">
        <f>C14+D14+E14</f>
        <v>0</v>
      </c>
      <c r="C14" s="149">
        <v>0</v>
      </c>
      <c r="D14" s="149">
        <v>0</v>
      </c>
      <c r="E14" s="150">
        <v>0</v>
      </c>
      <c r="F14" s="151">
        <f>G14+H14+I14</f>
        <v>0</v>
      </c>
      <c r="G14" s="152">
        <v>0</v>
      </c>
      <c r="H14" s="152">
        <v>0</v>
      </c>
      <c r="I14" s="150">
        <v>0</v>
      </c>
      <c r="J14" s="151">
        <f>K14+L14+M14</f>
        <v>0</v>
      </c>
      <c r="K14" s="153">
        <v>0</v>
      </c>
      <c r="L14" s="152">
        <v>0</v>
      </c>
      <c r="M14" s="150">
        <v>0</v>
      </c>
      <c r="P14" s="122" t="s">
        <v>147</v>
      </c>
    </row>
    <row r="15" spans="1:18" ht="13.5">
      <c r="A15" s="148" t="s">
        <v>148</v>
      </c>
      <c r="B15" s="143">
        <f>C15+D15+E15</f>
        <v>0</v>
      </c>
      <c r="C15" s="149">
        <v>0</v>
      </c>
      <c r="D15" s="149">
        <v>0</v>
      </c>
      <c r="E15" s="150">
        <v>0</v>
      </c>
      <c r="F15" s="151">
        <f>G15+H15+I15</f>
        <v>0</v>
      </c>
      <c r="G15" s="152">
        <v>0</v>
      </c>
      <c r="H15" s="152">
        <v>0</v>
      </c>
      <c r="I15" s="150">
        <v>0</v>
      </c>
      <c r="J15" s="151">
        <f>K15+L15+M15</f>
        <v>0</v>
      </c>
      <c r="K15" s="153">
        <v>0</v>
      </c>
      <c r="L15" s="152">
        <v>0</v>
      </c>
      <c r="M15" s="150">
        <v>0</v>
      </c>
      <c r="P15" s="155">
        <f>SUM(K12:K13)/SUM(J12:J13)</f>
        <v>0</v>
      </c>
      <c r="Q15" s="155">
        <f>SUM(L12:L13)/SUM(J12:J13)</f>
        <v>0</v>
      </c>
      <c r="R15" s="155">
        <f>SUM(M12:M13)/SUM(J12:J13)</f>
        <v>0</v>
      </c>
    </row>
    <row r="16" spans="1:17" ht="13.5">
      <c r="A16" s="148" t="s">
        <v>48</v>
      </c>
      <c r="B16" s="143">
        <f>C16+D16+E16</f>
        <v>0</v>
      </c>
      <c r="C16" s="149">
        <v>0</v>
      </c>
      <c r="D16" s="149">
        <v>0</v>
      </c>
      <c r="E16" s="150">
        <v>0</v>
      </c>
      <c r="F16" s="151">
        <f>G16+H16+I16</f>
        <v>0</v>
      </c>
      <c r="G16" s="152">
        <v>0</v>
      </c>
      <c r="H16" s="152">
        <v>0</v>
      </c>
      <c r="I16" s="150">
        <v>0</v>
      </c>
      <c r="J16" s="151">
        <f>K16+L16+M16</f>
        <v>0</v>
      </c>
      <c r="K16" s="153">
        <v>0</v>
      </c>
      <c r="L16" s="152">
        <v>0</v>
      </c>
      <c r="M16" s="150">
        <v>0</v>
      </c>
      <c r="Q16" s="163"/>
    </row>
    <row r="17" spans="1:17" ht="13.5">
      <c r="A17" s="148"/>
      <c r="B17" s="133"/>
      <c r="C17" s="134"/>
      <c r="D17" s="134"/>
      <c r="E17" s="135"/>
      <c r="F17" s="139"/>
      <c r="G17" s="164"/>
      <c r="H17" s="164"/>
      <c r="I17" s="135"/>
      <c r="J17" s="139"/>
      <c r="K17" s="165"/>
      <c r="L17" s="164"/>
      <c r="M17" s="135"/>
      <c r="N17" s="124"/>
      <c r="O17" s="124"/>
      <c r="Q17" s="163"/>
    </row>
    <row r="18" spans="1:13" ht="13.5">
      <c r="A18" s="142" t="s">
        <v>149</v>
      </c>
      <c r="B18" s="143">
        <f>C18+D18+E18</f>
        <v>0</v>
      </c>
      <c r="C18" s="160">
        <f>'Compte de résultat'!C46/12*3</f>
        <v>0</v>
      </c>
      <c r="D18" s="160">
        <f>'Compte de résultat'!D46/12*3</f>
        <v>0</v>
      </c>
      <c r="E18" s="166">
        <f>'Compte de résultat'!E46/12*3</f>
        <v>0</v>
      </c>
      <c r="F18" s="139"/>
      <c r="G18" s="164"/>
      <c r="H18" s="164"/>
      <c r="I18" s="135"/>
      <c r="J18" s="139"/>
      <c r="K18" s="165"/>
      <c r="L18" s="164"/>
      <c r="M18" s="135"/>
    </row>
    <row r="19" spans="1:13" ht="13.5">
      <c r="A19" s="148"/>
      <c r="B19" s="167"/>
      <c r="C19" s="168"/>
      <c r="D19" s="168"/>
      <c r="E19" s="157"/>
      <c r="F19" s="139"/>
      <c r="G19" s="164"/>
      <c r="H19" s="134"/>
      <c r="I19" s="169"/>
      <c r="J19" s="139"/>
      <c r="K19" s="165"/>
      <c r="L19" s="164"/>
      <c r="M19" s="135"/>
    </row>
    <row r="20" spans="1:13" ht="13.5">
      <c r="A20" s="142" t="s">
        <v>150</v>
      </c>
      <c r="B20" s="133"/>
      <c r="C20" s="134"/>
      <c r="D20" s="134"/>
      <c r="E20" s="135"/>
      <c r="F20" s="133"/>
      <c r="G20" s="164"/>
      <c r="H20" s="164"/>
      <c r="I20" s="169"/>
      <c r="J20" s="133"/>
      <c r="K20" s="164"/>
      <c r="L20" s="164"/>
      <c r="M20" s="169"/>
    </row>
    <row r="21" spans="1:13" ht="13.5">
      <c r="A21" s="148" t="s">
        <v>151</v>
      </c>
      <c r="B21" s="143">
        <f>-('Bilan de l''année n-1'!C27)</f>
        <v>0</v>
      </c>
      <c r="C21" s="134"/>
      <c r="D21" s="134"/>
      <c r="E21" s="170"/>
      <c r="F21" s="133"/>
      <c r="G21" s="164"/>
      <c r="H21" s="164"/>
      <c r="I21" s="169"/>
      <c r="J21" s="133"/>
      <c r="K21" s="164"/>
      <c r="L21" s="164"/>
      <c r="M21" s="169"/>
    </row>
    <row r="22" spans="1:13" ht="13.5">
      <c r="A22" s="148" t="s">
        <v>152</v>
      </c>
      <c r="B22" s="143">
        <f>SUM(C22:E22)</f>
        <v>3719.415</v>
      </c>
      <c r="C22" s="144">
        <f>'Compte de résultat'!C38/12+PA1/6-('Compte de résultat'!C38+'Compte de résultat'!C45)/24</f>
        <v>1239.805</v>
      </c>
      <c r="D22" s="144">
        <f>'Compte de résultat'!D38/12+PA1/6-('Compte de résultat'!D38+'Compte de résultat'!D45)/24</f>
        <v>1239.805</v>
      </c>
      <c r="E22" s="144">
        <f>'Compte de résultat'!E38/12+PA1/6-('Compte de résultat'!E38+'Compte de résultat'!E45)/24</f>
        <v>1239.805</v>
      </c>
      <c r="F22" s="133"/>
      <c r="G22" s="164"/>
      <c r="H22" s="164"/>
      <c r="I22" s="169"/>
      <c r="J22" s="133"/>
      <c r="K22" s="164"/>
      <c r="L22" s="164"/>
      <c r="M22" s="169"/>
    </row>
    <row r="23" spans="1:13" ht="13.5">
      <c r="A23" s="148" t="s">
        <v>153</v>
      </c>
      <c r="B23" s="133"/>
      <c r="C23" s="134"/>
      <c r="D23" s="134"/>
      <c r="E23" s="135"/>
      <c r="F23" s="143">
        <f>SUM(G23:I23)</f>
        <v>-3719.415</v>
      </c>
      <c r="G23" s="144">
        <f>'Compte de résultat'!G38/12+PB1/6-('Compte de résultat'!G38+'Compte de résultat'!G45)/24-C22</f>
        <v>-1239.805</v>
      </c>
      <c r="H23" s="144">
        <f>'Compte de résultat'!H38/12+PB1/6-('Compte de résultat'!H38+'Compte de résultat'!H45)/24-D22</f>
        <v>-1239.805</v>
      </c>
      <c r="I23" s="144">
        <f>'Compte de résultat'!I38/12+PB1/6-('Compte de résultat'!I38+'Compte de résultat'!I45)/24-E22</f>
        <v>-1239.805</v>
      </c>
      <c r="J23" s="143">
        <f>SUM(K23:M23)</f>
        <v>0</v>
      </c>
      <c r="K23" s="144">
        <f>PC1/6+'Compte de résultat'!K38/12-('Compte de résultat'!K38+'Compte de résultat'!K45)/24-C22-G23</f>
        <v>0</v>
      </c>
      <c r="L23" s="144">
        <f>PC1/6+'Compte de résultat'!L38/12-('Compte de résultat'!L38+'Compte de résultat'!L45)/24-D22-H23</f>
        <v>0</v>
      </c>
      <c r="M23" s="144">
        <f>PC1/6+'Compte de résultat'!M38/12-('Compte de résultat'!M38+'Compte de résultat'!M45)/24-E22-I23</f>
        <v>0</v>
      </c>
    </row>
    <row r="24" spans="1:13" ht="13.5">
      <c r="A24" s="148"/>
      <c r="B24" s="133"/>
      <c r="C24" s="134"/>
      <c r="D24" s="134"/>
      <c r="E24" s="135"/>
      <c r="F24" s="167"/>
      <c r="G24" s="156"/>
      <c r="H24" s="156"/>
      <c r="I24" s="159"/>
      <c r="J24" s="133"/>
      <c r="K24" s="156"/>
      <c r="L24" s="156"/>
      <c r="M24" s="159"/>
    </row>
    <row r="25" spans="1:13" ht="13.5">
      <c r="A25" s="148" t="s">
        <v>154</v>
      </c>
      <c r="B25" s="143">
        <f>Emprunt!C193</f>
        <v>0</v>
      </c>
      <c r="C25" s="144">
        <f>IF(B44=0,0,(C44/B44)*B25)</f>
        <v>0</v>
      </c>
      <c r="D25" s="144">
        <f>IF(B44=0,0,D44/B44*B25)</f>
        <v>0</v>
      </c>
      <c r="E25" s="145">
        <f>IF(B44=0,0,E44/B44*B25)</f>
        <v>0</v>
      </c>
      <c r="F25" s="143">
        <f>Emprunt!D193</f>
        <v>0</v>
      </c>
      <c r="G25" s="144">
        <f>IF(B44+F44=0,0,(G44+C44)/(B44+F44)*F25)</f>
        <v>0</v>
      </c>
      <c r="H25" s="171">
        <f>IF(B44+F44=0,0,((H44+D44)/(B44+F44))*F25)</f>
        <v>0</v>
      </c>
      <c r="I25" s="145">
        <f>IF(B44+F44=0,0,((I44+E44)/(B44+F44))*F25)</f>
        <v>0</v>
      </c>
      <c r="J25" s="143">
        <f>Emprunt!E193</f>
        <v>0</v>
      </c>
      <c r="K25" s="144">
        <f>IF(J44+F44+B44=0,0,(K44+G44+C44)/(B44+F44+J44)*J25)</f>
        <v>0</v>
      </c>
      <c r="L25" s="144">
        <f>IF(J44+F44+B44=0,0,((L44+H44+D44)/(B44+F44+J44)*J25))</f>
        <v>0</v>
      </c>
      <c r="M25" s="144">
        <f>IF(J44+F44+B44=0,0,(M44+I44+E44)/(J44+F44+B44)*J25)</f>
        <v>0</v>
      </c>
    </row>
    <row r="26" spans="1:13" ht="13.5">
      <c r="A26" s="148"/>
      <c r="B26" s="133"/>
      <c r="C26" s="134"/>
      <c r="D26" s="134"/>
      <c r="E26" s="135"/>
      <c r="F26" s="167"/>
      <c r="G26" s="136"/>
      <c r="H26" s="136"/>
      <c r="I26" s="137"/>
      <c r="J26" s="167"/>
      <c r="K26" s="156"/>
      <c r="L26" s="156"/>
      <c r="M26" s="159"/>
    </row>
    <row r="27" spans="1:13" ht="13.5">
      <c r="A27" s="172" t="s">
        <v>155</v>
      </c>
      <c r="B27" s="173">
        <f>B25+B22+B18+B11+B7+B21</f>
        <v>3719.415</v>
      </c>
      <c r="C27" s="173">
        <f>C25+C22+C18+C11+C7</f>
        <v>1239.805</v>
      </c>
      <c r="D27" s="173">
        <f>D25+D22+D18+D11+D7</f>
        <v>1239.805</v>
      </c>
      <c r="E27" s="173">
        <f>E25+E22+E18+E11+E7</f>
        <v>1239.805</v>
      </c>
      <c r="F27" s="174">
        <f>F7+F11+F23+F25</f>
        <v>-3719.415</v>
      </c>
      <c r="G27" s="174">
        <f>G7+G11+G23+G25</f>
        <v>-1239.805</v>
      </c>
      <c r="H27" s="174">
        <f>H7+H11+H23+H25</f>
        <v>-1239.805</v>
      </c>
      <c r="I27" s="174">
        <f>I7+I11+I23+I25</f>
        <v>-1239.805</v>
      </c>
      <c r="J27" s="174">
        <f>J25+J23+J11+J7</f>
        <v>0</v>
      </c>
      <c r="K27" s="174">
        <f>K25+K23+K11+K7</f>
        <v>0</v>
      </c>
      <c r="L27" s="174">
        <f>L25+L23+L11+L7</f>
        <v>0</v>
      </c>
      <c r="M27" s="174">
        <f>M25+M23+M11+M7</f>
        <v>0</v>
      </c>
    </row>
    <row r="28" spans="1:13" s="176" customFormat="1" ht="13.5">
      <c r="A28" s="175" t="s">
        <v>156</v>
      </c>
      <c r="B28" s="133"/>
      <c r="C28" s="164"/>
      <c r="D28" s="164"/>
      <c r="E28" s="169"/>
      <c r="F28" s="167"/>
      <c r="G28" s="136"/>
      <c r="H28" s="136"/>
      <c r="I28" s="137"/>
      <c r="J28" s="167"/>
      <c r="K28" s="136"/>
      <c r="L28" s="136"/>
      <c r="M28" s="137"/>
    </row>
    <row r="29" spans="1:13" ht="13.5">
      <c r="A29" s="177" t="s">
        <v>157</v>
      </c>
      <c r="B29" s="143">
        <f aca="true" t="shared" si="2" ref="B29:M29">SUM(B30:B32)</f>
        <v>0</v>
      </c>
      <c r="C29" s="144">
        <f t="shared" si="2"/>
        <v>0</v>
      </c>
      <c r="D29" s="144">
        <f t="shared" si="2"/>
        <v>0</v>
      </c>
      <c r="E29" s="145">
        <f t="shared" si="2"/>
        <v>0</v>
      </c>
      <c r="F29" s="143">
        <f t="shared" si="2"/>
        <v>0</v>
      </c>
      <c r="G29" s="144">
        <f t="shared" si="2"/>
        <v>0</v>
      </c>
      <c r="H29" s="144">
        <f t="shared" si="2"/>
        <v>0</v>
      </c>
      <c r="I29" s="145">
        <f t="shared" si="2"/>
        <v>0</v>
      </c>
      <c r="J29" s="143">
        <f t="shared" si="2"/>
        <v>0</v>
      </c>
      <c r="K29" s="144">
        <f t="shared" si="2"/>
        <v>0</v>
      </c>
      <c r="L29" s="144">
        <f t="shared" si="2"/>
        <v>0</v>
      </c>
      <c r="M29" s="145">
        <f t="shared" si="2"/>
        <v>0</v>
      </c>
    </row>
    <row r="30" spans="1:13" ht="13.5">
      <c r="A30" s="178" t="s">
        <v>158</v>
      </c>
      <c r="B30" s="143">
        <f>C30+D30+E30</f>
        <v>0</v>
      </c>
      <c r="C30" s="152">
        <v>0</v>
      </c>
      <c r="D30" s="152">
        <v>0</v>
      </c>
      <c r="E30" s="154">
        <v>0</v>
      </c>
      <c r="F30" s="143">
        <f>G30+H30+I30</f>
        <v>0</v>
      </c>
      <c r="G30" s="152">
        <v>0</v>
      </c>
      <c r="H30" s="152">
        <v>0</v>
      </c>
      <c r="I30" s="154">
        <v>0</v>
      </c>
      <c r="J30" s="143">
        <f>K30+L30+M30</f>
        <v>0</v>
      </c>
      <c r="K30" s="152">
        <v>0</v>
      </c>
      <c r="L30" s="152">
        <v>0</v>
      </c>
      <c r="M30" s="154">
        <v>0</v>
      </c>
    </row>
    <row r="31" spans="1:13" ht="13.5">
      <c r="A31" s="178" t="s">
        <v>159</v>
      </c>
      <c r="B31" s="143">
        <f>C31+D31+E31</f>
        <v>0</v>
      </c>
      <c r="C31" s="152">
        <v>0</v>
      </c>
      <c r="D31" s="152">
        <v>0</v>
      </c>
      <c r="E31" s="154">
        <v>0</v>
      </c>
      <c r="F31" s="143">
        <f>G31+H31+I31</f>
        <v>0</v>
      </c>
      <c r="G31" s="152">
        <v>0</v>
      </c>
      <c r="H31" s="152">
        <v>0</v>
      </c>
      <c r="I31" s="154">
        <v>0</v>
      </c>
      <c r="J31" s="143">
        <f>K31+L31+M31</f>
        <v>0</v>
      </c>
      <c r="K31" s="152">
        <v>0</v>
      </c>
      <c r="L31" s="152">
        <v>0</v>
      </c>
      <c r="M31" s="154">
        <v>0</v>
      </c>
    </row>
    <row r="32" spans="1:13" ht="13.5">
      <c r="A32" s="178" t="s">
        <v>160</v>
      </c>
      <c r="B32" s="143">
        <f>C32+D32+E32</f>
        <v>0</v>
      </c>
      <c r="C32" s="152">
        <v>0</v>
      </c>
      <c r="D32" s="152">
        <v>0</v>
      </c>
      <c r="E32" s="154">
        <v>0</v>
      </c>
      <c r="F32" s="143">
        <f>G32+H32+I32</f>
        <v>0</v>
      </c>
      <c r="G32" s="152">
        <v>0</v>
      </c>
      <c r="H32" s="152">
        <v>0</v>
      </c>
      <c r="I32" s="154">
        <v>0</v>
      </c>
      <c r="J32" s="143">
        <f>K32+L32+M32</f>
        <v>0</v>
      </c>
      <c r="K32" s="152">
        <v>0</v>
      </c>
      <c r="L32" s="152">
        <v>0</v>
      </c>
      <c r="M32" s="154">
        <v>0</v>
      </c>
    </row>
    <row r="33" spans="1:13" ht="13.5">
      <c r="A33" s="177"/>
      <c r="B33" s="133"/>
      <c r="C33" s="164"/>
      <c r="D33" s="164"/>
      <c r="E33" s="169"/>
      <c r="F33" s="133"/>
      <c r="G33" s="164"/>
      <c r="H33" s="164"/>
      <c r="I33" s="169"/>
      <c r="J33" s="133"/>
      <c r="K33" s="164"/>
      <c r="L33" s="164"/>
      <c r="M33" s="169"/>
    </row>
    <row r="34" spans="1:13" ht="13.5">
      <c r="A34" s="177"/>
      <c r="B34" s="133"/>
      <c r="C34" s="164"/>
      <c r="D34" s="164"/>
      <c r="E34" s="169"/>
      <c r="F34" s="133"/>
      <c r="G34" s="164"/>
      <c r="H34" s="164"/>
      <c r="I34" s="169"/>
      <c r="J34" s="133"/>
      <c r="K34" s="164"/>
      <c r="L34" s="164"/>
      <c r="M34" s="169"/>
    </row>
    <row r="35" spans="1:13" ht="13.5">
      <c r="A35" s="177" t="s">
        <v>161</v>
      </c>
      <c r="B35" s="143">
        <f aca="true" t="shared" si="3" ref="B35:M35">SUM(B36:B41)</f>
        <v>0</v>
      </c>
      <c r="C35" s="144">
        <f t="shared" si="3"/>
        <v>0</v>
      </c>
      <c r="D35" s="144">
        <f t="shared" si="3"/>
        <v>0</v>
      </c>
      <c r="E35" s="145">
        <f t="shared" si="3"/>
        <v>0</v>
      </c>
      <c r="F35" s="143">
        <f t="shared" si="3"/>
        <v>0</v>
      </c>
      <c r="G35" s="144">
        <f t="shared" si="3"/>
        <v>0</v>
      </c>
      <c r="H35" s="144">
        <f t="shared" si="3"/>
        <v>0</v>
      </c>
      <c r="I35" s="145">
        <f t="shared" si="3"/>
        <v>0</v>
      </c>
      <c r="J35" s="143">
        <f t="shared" si="3"/>
        <v>0</v>
      </c>
      <c r="K35" s="144">
        <f t="shared" si="3"/>
        <v>0</v>
      </c>
      <c r="L35" s="144">
        <f t="shared" si="3"/>
        <v>0</v>
      </c>
      <c r="M35" s="145">
        <f t="shared" si="3"/>
        <v>0</v>
      </c>
    </row>
    <row r="36" spans="1:13" ht="13.5">
      <c r="A36" s="179" t="s">
        <v>72</v>
      </c>
      <c r="B36" s="143">
        <f aca="true" t="shared" si="4" ref="B36:B41">C36+D36+E36</f>
        <v>0</v>
      </c>
      <c r="C36" s="152">
        <v>0</v>
      </c>
      <c r="D36" s="152">
        <v>0</v>
      </c>
      <c r="E36" s="154">
        <v>0</v>
      </c>
      <c r="F36" s="143">
        <f aca="true" t="shared" si="5" ref="F36:F41">G36+H36+I36</f>
        <v>0</v>
      </c>
      <c r="G36" s="152">
        <v>0</v>
      </c>
      <c r="H36" s="152">
        <v>0</v>
      </c>
      <c r="I36" s="154">
        <v>0</v>
      </c>
      <c r="J36" s="143">
        <f aca="true" t="shared" si="6" ref="J36:J41">K36+L36+M36</f>
        <v>0</v>
      </c>
      <c r="K36" s="152">
        <v>0</v>
      </c>
      <c r="L36" s="152">
        <v>0</v>
      </c>
      <c r="M36" s="154">
        <v>0</v>
      </c>
    </row>
    <row r="37" spans="1:13" ht="13.5">
      <c r="A37" s="179" t="s">
        <v>73</v>
      </c>
      <c r="B37" s="143">
        <f t="shared" si="4"/>
        <v>0</v>
      </c>
      <c r="C37" s="152">
        <v>0</v>
      </c>
      <c r="D37" s="152">
        <v>0</v>
      </c>
      <c r="E37" s="154">
        <v>0</v>
      </c>
      <c r="F37" s="143">
        <f t="shared" si="5"/>
        <v>0</v>
      </c>
      <c r="G37" s="152">
        <v>0</v>
      </c>
      <c r="H37" s="152">
        <v>0</v>
      </c>
      <c r="I37" s="154">
        <v>0</v>
      </c>
      <c r="J37" s="143">
        <f t="shared" si="6"/>
        <v>0</v>
      </c>
      <c r="K37" s="152">
        <v>0</v>
      </c>
      <c r="L37" s="152">
        <v>0</v>
      </c>
      <c r="M37" s="154">
        <v>0</v>
      </c>
    </row>
    <row r="38" spans="1:13" ht="13.5">
      <c r="A38" s="179" t="s">
        <v>74</v>
      </c>
      <c r="B38" s="143">
        <f t="shared" si="4"/>
        <v>0</v>
      </c>
      <c r="C38" s="152">
        <v>0</v>
      </c>
      <c r="D38" s="152">
        <v>0</v>
      </c>
      <c r="E38" s="154">
        <v>0</v>
      </c>
      <c r="F38" s="143">
        <f t="shared" si="5"/>
        <v>0</v>
      </c>
      <c r="G38" s="152">
        <v>0</v>
      </c>
      <c r="H38" s="152">
        <v>0</v>
      </c>
      <c r="I38" s="154">
        <v>0</v>
      </c>
      <c r="J38" s="143">
        <f t="shared" si="6"/>
        <v>0</v>
      </c>
      <c r="K38" s="152">
        <v>0</v>
      </c>
      <c r="L38" s="152">
        <v>0</v>
      </c>
      <c r="M38" s="154">
        <v>0</v>
      </c>
    </row>
    <row r="39" spans="1:13" ht="13.5">
      <c r="A39" s="124" t="s">
        <v>75</v>
      </c>
      <c r="B39" s="143">
        <f t="shared" si="4"/>
        <v>0</v>
      </c>
      <c r="C39" s="152">
        <v>0</v>
      </c>
      <c r="D39" s="152">
        <v>0</v>
      </c>
      <c r="E39" s="154">
        <v>0</v>
      </c>
      <c r="F39" s="143">
        <f t="shared" si="5"/>
        <v>0</v>
      </c>
      <c r="G39" s="152">
        <v>0</v>
      </c>
      <c r="H39" s="152">
        <v>0</v>
      </c>
      <c r="I39" s="154">
        <v>0</v>
      </c>
      <c r="J39" s="143">
        <f t="shared" si="6"/>
        <v>0</v>
      </c>
      <c r="K39" s="152">
        <v>0</v>
      </c>
      <c r="L39" s="152">
        <v>0</v>
      </c>
      <c r="M39" s="154">
        <v>0</v>
      </c>
    </row>
    <row r="40" spans="1:13" ht="13.5">
      <c r="A40" s="124" t="s">
        <v>76</v>
      </c>
      <c r="B40" s="143">
        <f t="shared" si="4"/>
        <v>0</v>
      </c>
      <c r="C40" s="152">
        <v>0</v>
      </c>
      <c r="D40" s="152">
        <v>0</v>
      </c>
      <c r="E40" s="154">
        <v>0</v>
      </c>
      <c r="F40" s="143">
        <f t="shared" si="5"/>
        <v>0</v>
      </c>
      <c r="G40" s="152">
        <v>0</v>
      </c>
      <c r="H40" s="152">
        <v>0</v>
      </c>
      <c r="I40" s="154">
        <v>0</v>
      </c>
      <c r="J40" s="143">
        <f t="shared" si="6"/>
        <v>0</v>
      </c>
      <c r="K40" s="152">
        <v>0</v>
      </c>
      <c r="L40" s="152">
        <v>0</v>
      </c>
      <c r="M40" s="154">
        <v>0</v>
      </c>
    </row>
    <row r="41" spans="1:13" ht="13.5">
      <c r="A41" s="179" t="s">
        <v>162</v>
      </c>
      <c r="B41" s="143">
        <f t="shared" si="4"/>
        <v>0</v>
      </c>
      <c r="C41" s="152">
        <v>0</v>
      </c>
      <c r="D41" s="152">
        <v>0</v>
      </c>
      <c r="E41" s="154">
        <v>0</v>
      </c>
      <c r="F41" s="143">
        <f t="shared" si="5"/>
        <v>0</v>
      </c>
      <c r="G41" s="152">
        <v>0</v>
      </c>
      <c r="H41" s="152">
        <v>0</v>
      </c>
      <c r="I41" s="154">
        <v>0</v>
      </c>
      <c r="J41" s="143">
        <f t="shared" si="6"/>
        <v>0</v>
      </c>
      <c r="K41" s="152">
        <v>0</v>
      </c>
      <c r="L41" s="152">
        <v>0</v>
      </c>
      <c r="M41" s="154">
        <v>0</v>
      </c>
    </row>
    <row r="42" spans="1:13" ht="13.5">
      <c r="A42" s="179"/>
      <c r="B42" s="133"/>
      <c r="C42" s="164"/>
      <c r="D42" s="164"/>
      <c r="E42" s="169"/>
      <c r="F42" s="133"/>
      <c r="G42" s="180"/>
      <c r="H42" s="180"/>
      <c r="I42" s="181"/>
      <c r="J42" s="133"/>
      <c r="K42" s="180"/>
      <c r="L42" s="180"/>
      <c r="M42" s="181"/>
    </row>
    <row r="43" spans="1:13" ht="13.5">
      <c r="A43" s="177" t="s">
        <v>163</v>
      </c>
      <c r="B43" s="133"/>
      <c r="C43" s="164"/>
      <c r="D43" s="164"/>
      <c r="E43" s="169"/>
      <c r="F43" s="167"/>
      <c r="G43" s="136"/>
      <c r="H43" s="136"/>
      <c r="I43" s="137"/>
      <c r="J43" s="167"/>
      <c r="K43" s="136"/>
      <c r="L43" s="136"/>
      <c r="M43" s="137"/>
    </row>
    <row r="44" spans="1:13" ht="13.5">
      <c r="A44" s="178" t="s">
        <v>163</v>
      </c>
      <c r="B44" s="143">
        <f>C44+D44+E44</f>
        <v>0</v>
      </c>
      <c r="C44" s="152">
        <v>0</v>
      </c>
      <c r="D44" s="152">
        <v>0</v>
      </c>
      <c r="E44" s="154">
        <v>0</v>
      </c>
      <c r="F44" s="143">
        <f>G44+H44+I44</f>
        <v>0</v>
      </c>
      <c r="G44" s="152">
        <v>0</v>
      </c>
      <c r="H44" s="152">
        <v>0</v>
      </c>
      <c r="I44" s="154">
        <v>0</v>
      </c>
      <c r="J44" s="143">
        <f>K44+L44+M44</f>
        <v>0</v>
      </c>
      <c r="K44" s="152">
        <v>0</v>
      </c>
      <c r="L44" s="152">
        <v>0</v>
      </c>
      <c r="M44" s="154">
        <v>0</v>
      </c>
    </row>
    <row r="45" spans="1:13" s="124" customFormat="1" ht="13.5">
      <c r="A45" s="178"/>
      <c r="B45" s="133"/>
      <c r="C45" s="164"/>
      <c r="D45" s="164"/>
      <c r="E45" s="169"/>
      <c r="F45" s="133"/>
      <c r="G45" s="180"/>
      <c r="H45" s="180"/>
      <c r="I45" s="181"/>
      <c r="J45" s="133"/>
      <c r="K45" s="180"/>
      <c r="L45" s="180"/>
      <c r="M45" s="181"/>
    </row>
    <row r="46" spans="1:13" ht="13.5">
      <c r="A46" s="178" t="s">
        <v>164</v>
      </c>
      <c r="B46" s="133"/>
      <c r="C46" s="164"/>
      <c r="D46" s="164"/>
      <c r="E46" s="169"/>
      <c r="F46" s="143">
        <f>'Compte de résultat'!B103</f>
        <v>-116990.31540799998</v>
      </c>
      <c r="G46" s="144">
        <f>'Compte de résultat'!C103</f>
        <v>-55905.009999999995</v>
      </c>
      <c r="H46" s="144">
        <f>'Compte de résultat'!D103</f>
        <v>0</v>
      </c>
      <c r="I46" s="145">
        <f>'Compte de résultat'!E103</f>
        <v>0</v>
      </c>
      <c r="J46" s="143">
        <f>'Compte de résultat'!F103</f>
        <v>0</v>
      </c>
      <c r="K46" s="144">
        <f>'Compte de résultat'!G103</f>
        <v>0</v>
      </c>
      <c r="L46" s="144">
        <f>'Compte de résultat'!H103</f>
        <v>0</v>
      </c>
      <c r="M46" s="145">
        <f>'Compte de résultat'!I103</f>
        <v>0</v>
      </c>
    </row>
    <row r="47" spans="1:13" ht="13.5">
      <c r="A47" s="178"/>
      <c r="B47" s="133"/>
      <c r="C47" s="164"/>
      <c r="D47" s="164"/>
      <c r="E47" s="169"/>
      <c r="F47" s="167"/>
      <c r="G47" s="136"/>
      <c r="H47" s="136"/>
      <c r="I47" s="137"/>
      <c r="J47" s="167"/>
      <c r="K47" s="136"/>
      <c r="L47" s="136"/>
      <c r="M47" s="137"/>
    </row>
    <row r="48" spans="1:13" ht="13.5">
      <c r="A48" s="182" t="s">
        <v>165</v>
      </c>
      <c r="B48" s="173">
        <f>SUM(B44+B35+B29)</f>
        <v>0</v>
      </c>
      <c r="C48" s="183">
        <f>SUM(C44+C35+C29)</f>
        <v>0</v>
      </c>
      <c r="D48" s="183">
        <f>SUM(D44+D35+D29)</f>
        <v>0</v>
      </c>
      <c r="E48" s="184">
        <f>SUM(E44+E35+E29)</f>
        <v>0</v>
      </c>
      <c r="F48" s="173">
        <f aca="true" t="shared" si="7" ref="F48:M48">F46+F44+F35+F29</f>
        <v>-116990.31540799998</v>
      </c>
      <c r="G48" s="183">
        <f t="shared" si="7"/>
        <v>-55905.009999999995</v>
      </c>
      <c r="H48" s="183">
        <f t="shared" si="7"/>
        <v>0</v>
      </c>
      <c r="I48" s="184">
        <f t="shared" si="7"/>
        <v>0</v>
      </c>
      <c r="J48" s="173">
        <f t="shared" si="7"/>
        <v>0</v>
      </c>
      <c r="K48" s="183">
        <f t="shared" si="7"/>
        <v>0</v>
      </c>
      <c r="L48" s="183">
        <f t="shared" si="7"/>
        <v>0</v>
      </c>
      <c r="M48" s="184">
        <f t="shared" si="7"/>
        <v>0</v>
      </c>
    </row>
    <row r="49" spans="1:13" ht="13.5">
      <c r="A49" s="182" t="s">
        <v>166</v>
      </c>
      <c r="B49" s="185">
        <f>B48-B27</f>
        <v>-3719.415</v>
      </c>
      <c r="C49" s="186">
        <f aca="true" t="shared" si="8" ref="C49:M49">C48-C27</f>
        <v>-1239.805</v>
      </c>
      <c r="D49" s="186">
        <f t="shared" si="8"/>
        <v>-1239.805</v>
      </c>
      <c r="E49" s="187">
        <f t="shared" si="8"/>
        <v>-1239.805</v>
      </c>
      <c r="F49" s="185">
        <f t="shared" si="8"/>
        <v>-113270.90040799999</v>
      </c>
      <c r="G49" s="186">
        <f t="shared" si="8"/>
        <v>-54665.204999999994</v>
      </c>
      <c r="H49" s="186">
        <f t="shared" si="8"/>
        <v>1239.805</v>
      </c>
      <c r="I49" s="187">
        <f t="shared" si="8"/>
        <v>1239.805</v>
      </c>
      <c r="J49" s="185">
        <f t="shared" si="8"/>
        <v>0</v>
      </c>
      <c r="K49" s="186">
        <f t="shared" si="8"/>
        <v>0</v>
      </c>
      <c r="L49" s="186">
        <f t="shared" si="8"/>
        <v>0</v>
      </c>
      <c r="M49" s="187">
        <f t="shared" si="8"/>
        <v>0</v>
      </c>
    </row>
    <row r="50" ht="13.5">
      <c r="B50" s="188"/>
    </row>
    <row r="51" spans="1:2" ht="13.5">
      <c r="A51" s="189"/>
      <c r="B51" s="188"/>
    </row>
    <row r="52" ht="13.5">
      <c r="B52" s="188"/>
    </row>
    <row r="53" ht="13.5">
      <c r="B53" s="190"/>
    </row>
    <row r="54" ht="13.5">
      <c r="B54" s="190"/>
    </row>
    <row r="55" spans="1:2" ht="13.5">
      <c r="A55" s="191"/>
      <c r="B55" s="190"/>
    </row>
    <row r="56" spans="1:13" ht="13.5">
      <c r="A56" s="192"/>
      <c r="B56" s="193"/>
      <c r="C56" s="194"/>
      <c r="D56" s="194"/>
      <c r="E56" s="194"/>
      <c r="F56" s="195"/>
      <c r="G56" s="195"/>
      <c r="H56" s="195"/>
      <c r="I56" s="195"/>
      <c r="J56" s="195"/>
      <c r="K56" s="195"/>
      <c r="L56" s="195"/>
      <c r="M56" s="195"/>
    </row>
    <row r="57" spans="1:13" s="194" customFormat="1" ht="13.5">
      <c r="A57" s="122"/>
      <c r="B57" s="190"/>
      <c r="C57" s="122"/>
      <c r="D57" s="122"/>
      <c r="E57" s="122"/>
      <c r="F57" s="123"/>
      <c r="G57" s="123"/>
      <c r="H57" s="123"/>
      <c r="I57" s="123"/>
      <c r="J57" s="123"/>
      <c r="K57" s="123"/>
      <c r="L57" s="123"/>
      <c r="M57" s="123"/>
    </row>
    <row r="58" ht="13.5">
      <c r="B58" s="196"/>
    </row>
    <row r="59" ht="13.5">
      <c r="B59" s="196"/>
    </row>
    <row r="60" ht="13.5">
      <c r="B60" s="196"/>
    </row>
    <row r="61" ht="13.5">
      <c r="B61" s="196"/>
    </row>
    <row r="62" ht="13.5">
      <c r="B62" s="196"/>
    </row>
    <row r="63" ht="13.5">
      <c r="B63" s="188"/>
    </row>
    <row r="64" ht="13.5">
      <c r="B64" s="188"/>
    </row>
    <row r="65" ht="13.5">
      <c r="B65" s="188"/>
    </row>
    <row r="66" ht="13.5">
      <c r="B66" s="188"/>
    </row>
    <row r="67" ht="13.5">
      <c r="B67" s="188"/>
    </row>
    <row r="68" ht="13.5">
      <c r="B68" s="188"/>
    </row>
    <row r="69" ht="13.5">
      <c r="B69" s="188"/>
    </row>
    <row r="70" ht="13.5">
      <c r="B70" s="188"/>
    </row>
    <row r="71" ht="13.5">
      <c r="B71" s="188"/>
    </row>
    <row r="72" ht="13.5">
      <c r="B72" s="188"/>
    </row>
    <row r="73" ht="13.5">
      <c r="B73" s="188"/>
    </row>
    <row r="74" ht="13.5">
      <c r="B74" s="188"/>
    </row>
    <row r="75" ht="13.5">
      <c r="B75" s="188"/>
    </row>
    <row r="76" ht="13.5">
      <c r="B76" s="188"/>
    </row>
    <row r="77" ht="13.5">
      <c r="B77" s="188"/>
    </row>
    <row r="78" ht="13.5">
      <c r="B78" s="188"/>
    </row>
    <row r="79" ht="13.5">
      <c r="B79" s="188"/>
    </row>
    <row r="80" ht="13.5">
      <c r="B80" s="188"/>
    </row>
    <row r="81" ht="13.5">
      <c r="B81" s="188"/>
    </row>
    <row r="82" ht="13.5">
      <c r="B82" s="188"/>
    </row>
    <row r="83" ht="13.5">
      <c r="B83" s="188"/>
    </row>
    <row r="84" ht="13.5">
      <c r="B84" s="188"/>
    </row>
    <row r="85" ht="13.5">
      <c r="B85" s="188"/>
    </row>
    <row r="86" ht="13.5">
      <c r="B86" s="188"/>
    </row>
    <row r="87" ht="13.5">
      <c r="B87" s="188"/>
    </row>
    <row r="88" ht="13.5">
      <c r="B88" s="188"/>
    </row>
    <row r="89" ht="13.5">
      <c r="B89" s="188"/>
    </row>
    <row r="90" ht="13.5">
      <c r="B90" s="188"/>
    </row>
    <row r="91" ht="13.5">
      <c r="B91" s="188"/>
    </row>
    <row r="92" ht="13.5">
      <c r="B92" s="188"/>
    </row>
    <row r="93" ht="13.5">
      <c r="B93" s="188"/>
    </row>
    <row r="94" ht="13.5">
      <c r="B94" s="188"/>
    </row>
    <row r="95" ht="13.5">
      <c r="B95" s="188"/>
    </row>
    <row r="96" ht="13.5">
      <c r="B96" s="188"/>
    </row>
    <row r="97" ht="13.5">
      <c r="B97" s="188"/>
    </row>
    <row r="98" ht="13.5">
      <c r="B98" s="188"/>
    </row>
    <row r="99" ht="13.5">
      <c r="B99" s="188"/>
    </row>
    <row r="100" ht="13.5">
      <c r="B100" s="188"/>
    </row>
    <row r="101" ht="13.5">
      <c r="B101" s="188"/>
    </row>
    <row r="102" ht="13.5">
      <c r="B102" s="188"/>
    </row>
    <row r="103" ht="13.5">
      <c r="B103" s="188"/>
    </row>
    <row r="104" ht="13.5">
      <c r="B104" s="188"/>
    </row>
    <row r="105" ht="13.5">
      <c r="B105" s="188"/>
    </row>
    <row r="106" ht="13.5">
      <c r="B106" s="188"/>
    </row>
    <row r="107" ht="13.5">
      <c r="B107" s="188"/>
    </row>
    <row r="108" ht="13.5">
      <c r="B108" s="188"/>
    </row>
    <row r="109" ht="13.5">
      <c r="B109" s="188"/>
    </row>
    <row r="110" ht="13.5">
      <c r="B110" s="188"/>
    </row>
    <row r="111" ht="13.5">
      <c r="B111" s="188"/>
    </row>
    <row r="112" ht="13.5">
      <c r="B112" s="188"/>
    </row>
    <row r="113" ht="13.5">
      <c r="B113" s="188"/>
    </row>
    <row r="114" ht="13.5">
      <c r="B114" s="188"/>
    </row>
    <row r="115" ht="13.5">
      <c r="B115" s="188"/>
    </row>
    <row r="116" ht="13.5">
      <c r="B116" s="188"/>
    </row>
    <row r="117" ht="13.5">
      <c r="B117" s="188"/>
    </row>
    <row r="118" ht="13.5">
      <c r="B118" s="188"/>
    </row>
    <row r="119" ht="13.5">
      <c r="B119" s="188"/>
    </row>
    <row r="120" ht="13.5">
      <c r="B120" s="188"/>
    </row>
    <row r="121" ht="13.5">
      <c r="B121" s="188"/>
    </row>
    <row r="122" ht="13.5">
      <c r="B122" s="188"/>
    </row>
    <row r="123" ht="13.5">
      <c r="B123" s="188"/>
    </row>
    <row r="124" ht="13.5">
      <c r="B124" s="188"/>
    </row>
    <row r="125" ht="13.5">
      <c r="B125" s="188"/>
    </row>
    <row r="126" ht="13.5">
      <c r="B126" s="188"/>
    </row>
    <row r="127" ht="13.5">
      <c r="B127" s="188"/>
    </row>
    <row r="128" ht="13.5">
      <c r="B128" s="188"/>
    </row>
    <row r="129" ht="13.5">
      <c r="B129" s="188"/>
    </row>
    <row r="130" ht="13.5">
      <c r="B130" s="188"/>
    </row>
    <row r="131" ht="13.5">
      <c r="B131" s="188"/>
    </row>
    <row r="132" ht="13.5">
      <c r="B132" s="188"/>
    </row>
    <row r="133" ht="13.5">
      <c r="B133" s="188"/>
    </row>
    <row r="134" ht="13.5">
      <c r="B134" s="188"/>
    </row>
    <row r="135" ht="13.5">
      <c r="B135" s="188"/>
    </row>
    <row r="136" ht="13.5">
      <c r="B136" s="188"/>
    </row>
    <row r="137" ht="13.5">
      <c r="B137" s="188"/>
    </row>
    <row r="138" ht="13.5">
      <c r="B138" s="188"/>
    </row>
    <row r="139" ht="13.5">
      <c r="B139" s="188"/>
    </row>
    <row r="140" ht="13.5">
      <c r="B140" s="188"/>
    </row>
    <row r="141" ht="13.5">
      <c r="B141" s="188"/>
    </row>
    <row r="142" ht="13.5">
      <c r="B142" s="188"/>
    </row>
  </sheetData>
  <sheetProtection sheet="1" objects="1" scenarios="1"/>
  <mergeCells count="3">
    <mergeCell ref="B3:E3"/>
    <mergeCell ref="F3:I3"/>
    <mergeCell ref="J3:M3"/>
  </mergeCells>
  <printOptions/>
  <pageMargins left="0.7875" right="0.44027777777777777" top="1.1201388888888888" bottom="0.5118055555555555" header="1.1201388888888888" footer="0.5118055555555555"/>
  <pageSetup fitToHeight="1" fitToWidth="1" horizontalDpi="300" verticalDpi="300" orientation="landscape" paperSize="9"/>
  <headerFooter alignWithMargins="0">
    <oddHeader>&amp;CPrévisionnel</oddHeader>
    <oddFooter>&amp;CEspace Boutique de Gestion</oddFooter>
  </headerFooter>
  <drawing r:id="rId3"/>
  <legacyDrawing r:id="rId2"/>
</worksheet>
</file>

<file path=xl/worksheets/sheet5.xml><?xml version="1.0" encoding="utf-8"?>
<worksheet xmlns="http://schemas.openxmlformats.org/spreadsheetml/2006/main" xmlns:r="http://schemas.openxmlformats.org/officeDocument/2006/relationships">
  <dimension ref="A2:K58"/>
  <sheetViews>
    <sheetView showGridLines="0" workbookViewId="0" topLeftCell="A1">
      <selection activeCell="E35" sqref="E35"/>
    </sheetView>
  </sheetViews>
  <sheetFormatPr defaultColWidth="11.421875" defaultRowHeight="12.75"/>
  <cols>
    <col min="1" max="1" width="21.140625" style="197" customWidth="1"/>
    <col min="2" max="2" width="14.8515625" style="197" customWidth="1"/>
    <col min="3" max="3" width="14.57421875" style="197" customWidth="1"/>
    <col min="4" max="4" width="12.57421875" style="197" customWidth="1"/>
    <col min="5" max="5" width="12.57421875" style="198" customWidth="1"/>
    <col min="6" max="6" width="13.00390625" style="197" customWidth="1"/>
    <col min="7" max="7" width="14.57421875" style="197" customWidth="1"/>
    <col min="8" max="9" width="18.421875" style="197" customWidth="1"/>
    <col min="10" max="10" width="15.28125" style="197" customWidth="1"/>
    <col min="11" max="11" width="13.8515625" style="197" customWidth="1"/>
    <col min="12" max="16384" width="11.421875" style="197" customWidth="1"/>
  </cols>
  <sheetData>
    <row r="2" spans="1:11" ht="15">
      <c r="A2" s="199">
        <f>'Plan de financement'!A4</f>
        <v>0</v>
      </c>
      <c r="B2" s="199"/>
      <c r="D2" s="200" t="s">
        <v>167</v>
      </c>
      <c r="E2" s="200"/>
      <c r="F2" s="200"/>
      <c r="G2" s="200"/>
      <c r="H2" s="200"/>
      <c r="I2" s="200"/>
      <c r="K2" s="201"/>
    </row>
    <row r="3" spans="1:11" ht="15">
      <c r="A3" s="202" t="s">
        <v>168</v>
      </c>
      <c r="B3" s="202"/>
      <c r="C3" s="203"/>
      <c r="D3" s="204"/>
      <c r="E3" s="205"/>
      <c r="F3" s="204"/>
      <c r="G3" s="204"/>
      <c r="H3" s="204"/>
      <c r="I3" s="204"/>
      <c r="K3" s="204"/>
    </row>
    <row r="4" spans="1:9" ht="15">
      <c r="A4" s="206"/>
      <c r="B4" s="207"/>
      <c r="C4" s="207"/>
      <c r="D4" s="207"/>
      <c r="E4" s="208"/>
      <c r="F4" s="207"/>
      <c r="G4" s="207"/>
      <c r="H4" s="207"/>
      <c r="I4" s="207"/>
    </row>
    <row r="5" ht="15">
      <c r="B5" s="209"/>
    </row>
    <row r="6" spans="1:9" ht="15.75">
      <c r="A6" s="210" t="s">
        <v>169</v>
      </c>
      <c r="B6" s="211">
        <v>12</v>
      </c>
      <c r="C6" s="212" t="s">
        <v>170</v>
      </c>
      <c r="D6" s="204"/>
      <c r="E6" s="205"/>
      <c r="F6" s="204"/>
      <c r="G6" s="204"/>
      <c r="H6" s="204"/>
      <c r="I6" s="204"/>
    </row>
    <row r="7" spans="1:9" ht="15">
      <c r="A7" s="213" t="s">
        <v>171</v>
      </c>
      <c r="B7" s="213" t="s">
        <v>172</v>
      </c>
      <c r="C7" s="213" t="s">
        <v>173</v>
      </c>
      <c r="D7" s="213" t="s">
        <v>174</v>
      </c>
      <c r="E7" s="213" t="s">
        <v>175</v>
      </c>
      <c r="F7" s="213" t="s">
        <v>176</v>
      </c>
      <c r="G7" s="213" t="s">
        <v>176</v>
      </c>
      <c r="H7" s="214" t="s">
        <v>177</v>
      </c>
      <c r="I7" s="213" t="s">
        <v>178</v>
      </c>
    </row>
    <row r="8" spans="1:9" ht="15">
      <c r="A8" s="215"/>
      <c r="B8" s="216" t="s">
        <v>179</v>
      </c>
      <c r="C8" s="216" t="s">
        <v>180</v>
      </c>
      <c r="D8" s="216" t="s">
        <v>181</v>
      </c>
      <c r="E8" s="217"/>
      <c r="F8" s="217" t="s">
        <v>182</v>
      </c>
      <c r="G8" s="217" t="s">
        <v>183</v>
      </c>
      <c r="H8" s="217" t="s">
        <v>184</v>
      </c>
      <c r="I8" s="216" t="s">
        <v>185</v>
      </c>
    </row>
    <row r="9" spans="1:10" ht="15">
      <c r="A9" s="218" t="s">
        <v>186</v>
      </c>
      <c r="B9" s="219">
        <v>0</v>
      </c>
      <c r="C9" s="219">
        <v>0</v>
      </c>
      <c r="D9" s="219">
        <v>676</v>
      </c>
      <c r="E9" s="220">
        <v>0</v>
      </c>
      <c r="F9" s="221">
        <f aca="true" t="shared" si="0" ref="F9:F15">D9*C9*B9*E9</f>
        <v>0</v>
      </c>
      <c r="G9" s="221">
        <f aca="true" t="shared" si="1" ref="G9:G15">F9*1.43</f>
        <v>0</v>
      </c>
      <c r="H9" s="221">
        <f>G9-SUM(2433*B9)</f>
        <v>0</v>
      </c>
      <c r="I9" s="222">
        <f>B9*6907.74/12*C9</f>
        <v>0</v>
      </c>
      <c r="J9" s="223"/>
    </row>
    <row r="10" spans="1:9" ht="15">
      <c r="A10" s="224" t="s">
        <v>187</v>
      </c>
      <c r="B10" s="219"/>
      <c r="C10" s="219"/>
      <c r="D10" s="219">
        <v>1182</v>
      </c>
      <c r="E10" s="220">
        <v>0</v>
      </c>
      <c r="F10" s="221">
        <f t="shared" si="0"/>
        <v>0</v>
      </c>
      <c r="G10" s="221">
        <f t="shared" si="1"/>
        <v>0</v>
      </c>
      <c r="H10" s="221">
        <f>G10-SUM(4254*B10)</f>
        <v>0</v>
      </c>
      <c r="I10" s="222">
        <f>B10*9377/12*C10</f>
        <v>0</v>
      </c>
    </row>
    <row r="11" spans="1:9" ht="15">
      <c r="A11" s="218" t="s">
        <v>188</v>
      </c>
      <c r="B11" s="219">
        <v>0</v>
      </c>
      <c r="C11" s="219">
        <v>0</v>
      </c>
      <c r="D11" s="219">
        <v>1090.48</v>
      </c>
      <c r="E11" s="220">
        <v>0</v>
      </c>
      <c r="F11" s="221">
        <f t="shared" si="0"/>
        <v>0</v>
      </c>
      <c r="G11" s="221">
        <f t="shared" si="1"/>
        <v>0</v>
      </c>
      <c r="H11" s="221">
        <f>G11</f>
        <v>0</v>
      </c>
      <c r="I11" s="225">
        <v>0</v>
      </c>
    </row>
    <row r="12" spans="1:9" ht="15">
      <c r="A12" s="218" t="s">
        <v>189</v>
      </c>
      <c r="B12" s="219">
        <v>0</v>
      </c>
      <c r="C12" s="219"/>
      <c r="D12" s="219">
        <v>1090.48</v>
      </c>
      <c r="E12" s="220">
        <v>0</v>
      </c>
      <c r="F12" s="221">
        <f t="shared" si="0"/>
        <v>0</v>
      </c>
      <c r="G12" s="221">
        <f t="shared" si="1"/>
        <v>0</v>
      </c>
      <c r="H12" s="221">
        <f>G12</f>
        <v>0</v>
      </c>
      <c r="I12" s="225"/>
    </row>
    <row r="13" spans="1:9" ht="15">
      <c r="A13" s="218" t="s">
        <v>190</v>
      </c>
      <c r="B13" s="219">
        <v>1</v>
      </c>
      <c r="C13" s="219">
        <v>12</v>
      </c>
      <c r="D13" s="219">
        <v>1031</v>
      </c>
      <c r="E13" s="220">
        <v>2</v>
      </c>
      <c r="F13" s="221">
        <f t="shared" si="0"/>
        <v>24744</v>
      </c>
      <c r="G13" s="221">
        <f t="shared" si="1"/>
        <v>35383.92</v>
      </c>
      <c r="H13" s="221">
        <f>G13-SUM(3712*B13)</f>
        <v>31671.92</v>
      </c>
      <c r="I13" s="222">
        <f>B13*7438.83/12*C13</f>
        <v>7438.83</v>
      </c>
    </row>
    <row r="14" spans="1:9" ht="15">
      <c r="A14" s="218" t="s">
        <v>191</v>
      </c>
      <c r="B14" s="219">
        <v>1</v>
      </c>
      <c r="C14" s="219">
        <v>12</v>
      </c>
      <c r="D14" s="219">
        <v>1090.48</v>
      </c>
      <c r="E14" s="220">
        <v>2</v>
      </c>
      <c r="F14" s="221">
        <f t="shared" si="0"/>
        <v>26171.52</v>
      </c>
      <c r="G14" s="221">
        <f t="shared" si="1"/>
        <v>37425.2736</v>
      </c>
      <c r="H14" s="221">
        <f>G14</f>
        <v>37425.2736</v>
      </c>
      <c r="I14" s="222">
        <f>B14*14970/12*C14</f>
        <v>14970</v>
      </c>
    </row>
    <row r="15" spans="1:9" ht="15">
      <c r="A15" s="226" t="s">
        <v>192</v>
      </c>
      <c r="B15" s="219">
        <v>0</v>
      </c>
      <c r="C15" s="219">
        <v>0</v>
      </c>
      <c r="D15" s="219">
        <v>1090.48</v>
      </c>
      <c r="E15" s="220"/>
      <c r="F15" s="221">
        <f t="shared" si="0"/>
        <v>0</v>
      </c>
      <c r="G15" s="221">
        <f t="shared" si="1"/>
        <v>0</v>
      </c>
      <c r="H15" s="221">
        <f>G15</f>
        <v>0</v>
      </c>
      <c r="I15" s="225"/>
    </row>
    <row r="16" spans="1:9" ht="15">
      <c r="A16" s="227" t="s">
        <v>193</v>
      </c>
      <c r="B16" s="228">
        <f>SUM(B9:B15)</f>
        <v>2</v>
      </c>
      <c r="C16" s="228">
        <f>SUM(C9*B9)+SUM(C10*B10)+SUM(C11*B11)+SUM(C12*B12)+SUM(C13*B13)+SUM(C14*B14)+SUM(C15*B15)</f>
        <v>24</v>
      </c>
      <c r="D16" s="228">
        <f>SUM(D9:D15)</f>
        <v>7250.92</v>
      </c>
      <c r="E16" s="229"/>
      <c r="F16" s="228">
        <f>SUM(F9:F15)</f>
        <v>50915.520000000004</v>
      </c>
      <c r="G16" s="228">
        <f>SUM(G9:G15)</f>
        <v>72809.1936</v>
      </c>
      <c r="H16" s="228">
        <f>SUM(H9:H15)</f>
        <v>69097.1936</v>
      </c>
      <c r="I16" s="228">
        <f>SUM(I9:I15)</f>
        <v>22408.83</v>
      </c>
    </row>
    <row r="17" spans="2:9" s="201" customFormat="1" ht="15">
      <c r="B17" s="230"/>
      <c r="C17" s="231">
        <f>SUM(B9*C9)*86.666666666666+SUM(B10*C10)*151.57+SUM(B11*C11)*151.57+SUM(B12*C12)*151.57+SUM(B13*C13)*130+SUM(B14*C14)*151.57+SUM(B15*C15)*151.57</f>
        <v>3378.84</v>
      </c>
      <c r="D17" s="232" t="s">
        <v>194</v>
      </c>
      <c r="E17" s="233"/>
      <c r="F17" s="230"/>
      <c r="G17" s="234"/>
      <c r="H17" s="234"/>
      <c r="I17" s="230"/>
    </row>
    <row r="18" spans="2:9" s="201" customFormat="1" ht="15">
      <c r="B18" s="230"/>
      <c r="C18" s="230">
        <f>C17/151.57/12</f>
        <v>1.857689516395065</v>
      </c>
      <c r="D18" s="235" t="s">
        <v>195</v>
      </c>
      <c r="E18" s="236"/>
      <c r="F18" s="230"/>
      <c r="G18" s="234"/>
      <c r="H18" s="234"/>
      <c r="I18" s="237"/>
    </row>
    <row r="19" spans="3:9" s="201" customFormat="1" ht="15">
      <c r="C19" s="238"/>
      <c r="D19" s="238"/>
      <c r="E19" s="238"/>
      <c r="F19" s="238"/>
      <c r="G19" s="238"/>
      <c r="H19" s="238"/>
      <c r="I19" s="239"/>
    </row>
    <row r="21" ht="15">
      <c r="A21" s="201" t="s">
        <v>196</v>
      </c>
    </row>
    <row r="22" spans="1:9" ht="15">
      <c r="A22" s="213" t="s">
        <v>171</v>
      </c>
      <c r="B22" s="213" t="s">
        <v>172</v>
      </c>
      <c r="C22" s="213" t="s">
        <v>173</v>
      </c>
      <c r="D22" s="213" t="s">
        <v>174</v>
      </c>
      <c r="E22" s="240"/>
      <c r="F22" s="213" t="s">
        <v>176</v>
      </c>
      <c r="G22" s="213" t="s">
        <v>176</v>
      </c>
      <c r="H22" s="214" t="s">
        <v>177</v>
      </c>
      <c r="I22" s="213" t="s">
        <v>178</v>
      </c>
    </row>
    <row r="23" spans="1:9" ht="15">
      <c r="A23" s="215"/>
      <c r="B23" s="216" t="s">
        <v>179</v>
      </c>
      <c r="C23" s="216" t="s">
        <v>180</v>
      </c>
      <c r="D23" s="216" t="s">
        <v>181</v>
      </c>
      <c r="E23" s="241"/>
      <c r="F23" s="217" t="s">
        <v>182</v>
      </c>
      <c r="G23" s="217" t="s">
        <v>183</v>
      </c>
      <c r="H23" s="217" t="s">
        <v>184</v>
      </c>
      <c r="I23" s="216" t="s">
        <v>185</v>
      </c>
    </row>
    <row r="24" spans="1:9" ht="15">
      <c r="A24" s="242" t="s">
        <v>197</v>
      </c>
      <c r="B24" s="219"/>
      <c r="C24" s="219"/>
      <c r="D24" s="219">
        <v>676</v>
      </c>
      <c r="E24" s="243"/>
      <c r="F24" s="221">
        <f aca="true" t="shared" si="2" ref="F24:F31">D24*C24*B24*E24</f>
        <v>0</v>
      </c>
      <c r="G24" s="221">
        <f aca="true" t="shared" si="3" ref="G24:G31">F24*1.43</f>
        <v>0</v>
      </c>
      <c r="H24" s="221">
        <f>G24-SUM(2433*B24)</f>
        <v>0</v>
      </c>
      <c r="I24" s="222">
        <f>B24*6907.74/12*C24</f>
        <v>0</v>
      </c>
    </row>
    <row r="25" spans="1:9" ht="15">
      <c r="A25" s="242" t="s">
        <v>198</v>
      </c>
      <c r="B25" s="219"/>
      <c r="C25" s="219"/>
      <c r="D25" s="219">
        <v>676</v>
      </c>
      <c r="E25" s="243"/>
      <c r="F25" s="221">
        <f t="shared" si="2"/>
        <v>0</v>
      </c>
      <c r="G25" s="221">
        <f t="shared" si="3"/>
        <v>0</v>
      </c>
      <c r="H25" s="221">
        <f>G25-SUM(2433*B25)</f>
        <v>0</v>
      </c>
      <c r="I25" s="222">
        <f>B25*6907.74/12*C25</f>
        <v>0</v>
      </c>
    </row>
    <row r="26" spans="1:9" ht="15">
      <c r="A26" s="242" t="s">
        <v>199</v>
      </c>
      <c r="B26" s="219"/>
      <c r="C26" s="219"/>
      <c r="D26" s="219">
        <v>1182</v>
      </c>
      <c r="E26" s="243"/>
      <c r="F26" s="221">
        <f t="shared" si="2"/>
        <v>0</v>
      </c>
      <c r="G26" s="221">
        <f t="shared" si="3"/>
        <v>0</v>
      </c>
      <c r="H26" s="221">
        <f>G26-SUM(4254*B26)</f>
        <v>0</v>
      </c>
      <c r="I26" s="222">
        <f>B26*9377/12*C26</f>
        <v>0</v>
      </c>
    </row>
    <row r="27" spans="1:9" ht="15">
      <c r="A27" s="242" t="s">
        <v>188</v>
      </c>
      <c r="B27" s="219"/>
      <c r="C27" s="219"/>
      <c r="D27" s="219">
        <v>1090.48</v>
      </c>
      <c r="E27" s="243"/>
      <c r="F27" s="221">
        <f t="shared" si="2"/>
        <v>0</v>
      </c>
      <c r="G27" s="221">
        <f t="shared" si="3"/>
        <v>0</v>
      </c>
      <c r="H27" s="221">
        <f>G27</f>
        <v>0</v>
      </c>
      <c r="I27" s="244">
        <v>0</v>
      </c>
    </row>
    <row r="28" spans="1:9" ht="15">
      <c r="A28" s="242" t="s">
        <v>189</v>
      </c>
      <c r="B28" s="219"/>
      <c r="C28" s="219"/>
      <c r="D28" s="219">
        <v>1090.48</v>
      </c>
      <c r="E28" s="243"/>
      <c r="F28" s="221">
        <f t="shared" si="2"/>
        <v>0</v>
      </c>
      <c r="G28" s="221">
        <f t="shared" si="3"/>
        <v>0</v>
      </c>
      <c r="H28" s="221">
        <f>G28</f>
        <v>0</v>
      </c>
      <c r="I28" s="244"/>
    </row>
    <row r="29" spans="1:9" ht="15">
      <c r="A29" s="242" t="s">
        <v>190</v>
      </c>
      <c r="B29" s="219"/>
      <c r="C29" s="219"/>
      <c r="D29" s="219">
        <v>1031</v>
      </c>
      <c r="E29" s="243"/>
      <c r="F29" s="221">
        <f t="shared" si="2"/>
        <v>0</v>
      </c>
      <c r="G29" s="221">
        <f t="shared" si="3"/>
        <v>0</v>
      </c>
      <c r="H29" s="221">
        <f>G29-SUM(3712*B29)</f>
        <v>0</v>
      </c>
      <c r="I29" s="222">
        <f>B29*7438.83/12*C29</f>
        <v>0</v>
      </c>
    </row>
    <row r="30" spans="1:9" ht="15">
      <c r="A30" s="242" t="s">
        <v>191</v>
      </c>
      <c r="B30" s="219"/>
      <c r="C30" s="219"/>
      <c r="D30" s="219">
        <v>1090.48</v>
      </c>
      <c r="E30" s="243"/>
      <c r="F30" s="221">
        <f t="shared" si="2"/>
        <v>0</v>
      </c>
      <c r="G30" s="221">
        <f t="shared" si="3"/>
        <v>0</v>
      </c>
      <c r="H30" s="221">
        <f>G30</f>
        <v>0</v>
      </c>
      <c r="I30" s="222">
        <f>B30*14970/12*C30</f>
        <v>0</v>
      </c>
    </row>
    <row r="31" spans="1:9" ht="15">
      <c r="A31" s="245" t="s">
        <v>192</v>
      </c>
      <c r="B31" s="219"/>
      <c r="C31" s="219"/>
      <c r="D31" s="219">
        <v>1090.48</v>
      </c>
      <c r="E31" s="243"/>
      <c r="F31" s="221">
        <f t="shared" si="2"/>
        <v>0</v>
      </c>
      <c r="G31" s="221">
        <f t="shared" si="3"/>
        <v>0</v>
      </c>
      <c r="H31" s="221">
        <f>G31</f>
        <v>0</v>
      </c>
      <c r="I31" s="244"/>
    </row>
    <row r="32" spans="1:9" ht="15">
      <c r="A32" s="246" t="s">
        <v>193</v>
      </c>
      <c r="B32" s="228">
        <f aca="true" t="shared" si="4" ref="B32:I32">SUM(B24:B31)</f>
        <v>0</v>
      </c>
      <c r="C32" s="228">
        <f t="shared" si="4"/>
        <v>0</v>
      </c>
      <c r="D32" s="228">
        <f t="shared" si="4"/>
        <v>7926.92</v>
      </c>
      <c r="E32" s="247"/>
      <c r="F32" s="228">
        <f t="shared" si="4"/>
        <v>0</v>
      </c>
      <c r="G32" s="228">
        <f t="shared" si="4"/>
        <v>0</v>
      </c>
      <c r="H32" s="228">
        <f t="shared" si="4"/>
        <v>0</v>
      </c>
      <c r="I32" s="228">
        <f t="shared" si="4"/>
        <v>0</v>
      </c>
    </row>
    <row r="33" spans="2:9" s="201" customFormat="1" ht="15">
      <c r="B33" s="230"/>
      <c r="C33" s="231">
        <f>SUM(B24*C24)*86.66666666666+SUM(B25*C25)*86.666666666666+SUM(B26*C26)*151.57+SUM(B27*C27)*151.57+SUM(B28*C28)*151.57+SUM(B29*C29)*130+SUM(B30*C30)*151.57+SUM(B31*C31)*151.57</f>
        <v>0</v>
      </c>
      <c r="D33" s="232" t="s">
        <v>194</v>
      </c>
      <c r="E33" s="233"/>
      <c r="F33" s="230"/>
      <c r="G33" s="230"/>
      <c r="H33" s="230"/>
      <c r="I33" s="230"/>
    </row>
    <row r="34" spans="2:9" s="201" customFormat="1" ht="15">
      <c r="B34" s="230"/>
      <c r="C34" s="230">
        <f>C33/151.57/12</f>
        <v>0</v>
      </c>
      <c r="D34" s="235" t="s">
        <v>195</v>
      </c>
      <c r="E34" s="236"/>
      <c r="F34" s="230"/>
      <c r="G34" s="230"/>
      <c r="H34" s="230"/>
      <c r="I34" s="237"/>
    </row>
    <row r="35" spans="4:9" s="201" customFormat="1" ht="15">
      <c r="D35" s="248"/>
      <c r="E35" s="249"/>
      <c r="I35" s="239"/>
    </row>
    <row r="37" ht="15">
      <c r="A37" s="201" t="s">
        <v>200</v>
      </c>
    </row>
    <row r="38" spans="1:9" ht="15">
      <c r="A38" s="213" t="s">
        <v>171</v>
      </c>
      <c r="B38" s="213" t="s">
        <v>172</v>
      </c>
      <c r="C38" s="213" t="s">
        <v>173</v>
      </c>
      <c r="D38" s="213" t="s">
        <v>174</v>
      </c>
      <c r="E38" s="240"/>
      <c r="F38" s="213" t="s">
        <v>176</v>
      </c>
      <c r="G38" s="213" t="s">
        <v>176</v>
      </c>
      <c r="H38" s="214" t="s">
        <v>177</v>
      </c>
      <c r="I38" s="213" t="s">
        <v>178</v>
      </c>
    </row>
    <row r="39" spans="1:9" ht="15">
      <c r="A39" s="215"/>
      <c r="B39" s="216" t="s">
        <v>179</v>
      </c>
      <c r="C39" s="216" t="s">
        <v>180</v>
      </c>
      <c r="D39" s="216" t="s">
        <v>181</v>
      </c>
      <c r="E39" s="241"/>
      <c r="F39" s="217" t="s">
        <v>182</v>
      </c>
      <c r="G39" s="217" t="s">
        <v>183</v>
      </c>
      <c r="H39" s="217" t="s">
        <v>184</v>
      </c>
      <c r="I39" s="216" t="s">
        <v>185</v>
      </c>
    </row>
    <row r="40" spans="1:9" ht="15">
      <c r="A40" s="218" t="s">
        <v>197</v>
      </c>
      <c r="B40" s="219"/>
      <c r="C40" s="219"/>
      <c r="D40" s="219">
        <v>676</v>
      </c>
      <c r="E40" s="243"/>
      <c r="F40" s="221">
        <f aca="true" t="shared" si="5" ref="F40:F47">D40*C40*B40*E40</f>
        <v>0</v>
      </c>
      <c r="G40" s="250">
        <f aca="true" t="shared" si="6" ref="G40:G47">F40*1.43</f>
        <v>0</v>
      </c>
      <c r="H40" s="250">
        <f>G40-SUM(2433*B40)</f>
        <v>0</v>
      </c>
      <c r="I40" s="251">
        <f>B40*6907.74/12*C40</f>
        <v>0</v>
      </c>
    </row>
    <row r="41" spans="1:9" ht="15">
      <c r="A41" s="224" t="s">
        <v>198</v>
      </c>
      <c r="B41" s="219"/>
      <c r="C41" s="219"/>
      <c r="D41" s="219">
        <v>676</v>
      </c>
      <c r="E41" s="243"/>
      <c r="F41" s="221">
        <f t="shared" si="5"/>
        <v>0</v>
      </c>
      <c r="G41" s="250">
        <f t="shared" si="6"/>
        <v>0</v>
      </c>
      <c r="H41" s="250">
        <f>G41-SUM(2433*B41)</f>
        <v>0</v>
      </c>
      <c r="I41" s="251">
        <f>B41*6907.74/12*C41</f>
        <v>0</v>
      </c>
    </row>
    <row r="42" spans="1:9" ht="15">
      <c r="A42" s="224" t="s">
        <v>199</v>
      </c>
      <c r="B42" s="219"/>
      <c r="C42" s="219"/>
      <c r="D42" s="219">
        <v>1182</v>
      </c>
      <c r="E42" s="243"/>
      <c r="F42" s="221">
        <f t="shared" si="5"/>
        <v>0</v>
      </c>
      <c r="G42" s="250">
        <f t="shared" si="6"/>
        <v>0</v>
      </c>
      <c r="H42" s="250">
        <f>G42-SUM(4254*B42)</f>
        <v>0</v>
      </c>
      <c r="I42" s="251">
        <f>B42*9377/12*C42</f>
        <v>0</v>
      </c>
    </row>
    <row r="43" spans="1:9" ht="15">
      <c r="A43" s="224" t="s">
        <v>188</v>
      </c>
      <c r="B43" s="219"/>
      <c r="C43" s="219"/>
      <c r="D43" s="219">
        <v>1090.48</v>
      </c>
      <c r="E43" s="243"/>
      <c r="F43" s="221">
        <f t="shared" si="5"/>
        <v>0</v>
      </c>
      <c r="G43" s="250">
        <f t="shared" si="6"/>
        <v>0</v>
      </c>
      <c r="H43" s="250">
        <f>G43</f>
        <v>0</v>
      </c>
      <c r="I43" s="252"/>
    </row>
    <row r="44" spans="1:9" ht="15">
      <c r="A44" s="224" t="s">
        <v>189</v>
      </c>
      <c r="B44" s="219"/>
      <c r="C44" s="219"/>
      <c r="D44" s="219">
        <v>1090.48</v>
      </c>
      <c r="E44" s="243"/>
      <c r="F44" s="221">
        <f t="shared" si="5"/>
        <v>0</v>
      </c>
      <c r="G44" s="250">
        <f t="shared" si="6"/>
        <v>0</v>
      </c>
      <c r="H44" s="250">
        <f>G44</f>
        <v>0</v>
      </c>
      <c r="I44" s="252"/>
    </row>
    <row r="45" spans="1:9" ht="15">
      <c r="A45" s="224" t="s">
        <v>190</v>
      </c>
      <c r="B45" s="219"/>
      <c r="C45" s="219"/>
      <c r="D45" s="219">
        <v>1031</v>
      </c>
      <c r="E45" s="243"/>
      <c r="F45" s="221">
        <f t="shared" si="5"/>
        <v>0</v>
      </c>
      <c r="G45" s="250">
        <f t="shared" si="6"/>
        <v>0</v>
      </c>
      <c r="H45" s="221">
        <f>G45-SUM(3712*B45)</f>
        <v>0</v>
      </c>
      <c r="I45" s="222">
        <f>B45*7438.83/12*C45</f>
        <v>0</v>
      </c>
    </row>
    <row r="46" spans="1:9" ht="15">
      <c r="A46" s="224" t="s">
        <v>191</v>
      </c>
      <c r="B46" s="219"/>
      <c r="C46" s="219"/>
      <c r="D46" s="219">
        <v>1090.48</v>
      </c>
      <c r="E46" s="243"/>
      <c r="F46" s="221">
        <f t="shared" si="5"/>
        <v>0</v>
      </c>
      <c r="G46" s="250">
        <f t="shared" si="6"/>
        <v>0</v>
      </c>
      <c r="H46" s="221">
        <f>G46</f>
        <v>0</v>
      </c>
      <c r="I46" s="222">
        <f>B46*14970/12*C46</f>
        <v>0</v>
      </c>
    </row>
    <row r="47" spans="1:9" ht="15">
      <c r="A47" s="218" t="s">
        <v>192</v>
      </c>
      <c r="B47" s="219"/>
      <c r="C47" s="219"/>
      <c r="D47" s="219">
        <v>1090.48</v>
      </c>
      <c r="E47" s="243"/>
      <c r="F47" s="221">
        <f t="shared" si="5"/>
        <v>0</v>
      </c>
      <c r="G47" s="250">
        <f t="shared" si="6"/>
        <v>0</v>
      </c>
      <c r="H47" s="250">
        <f>G47</f>
        <v>0</v>
      </c>
      <c r="I47" s="252"/>
    </row>
    <row r="48" spans="1:9" ht="15">
      <c r="A48" s="227" t="s">
        <v>193</v>
      </c>
      <c r="B48" s="228">
        <f aca="true" t="shared" si="7" ref="B48:I48">SUM(B40:B47)</f>
        <v>0</v>
      </c>
      <c r="C48" s="228">
        <f t="shared" si="7"/>
        <v>0</v>
      </c>
      <c r="D48" s="228">
        <f t="shared" si="7"/>
        <v>7926.92</v>
      </c>
      <c r="E48" s="247"/>
      <c r="F48" s="228">
        <f t="shared" si="7"/>
        <v>0</v>
      </c>
      <c r="G48" s="228">
        <f t="shared" si="7"/>
        <v>0</v>
      </c>
      <c r="H48" s="228">
        <f t="shared" si="7"/>
        <v>0</v>
      </c>
      <c r="I48" s="228">
        <f t="shared" si="7"/>
        <v>0</v>
      </c>
    </row>
    <row r="49" spans="1:9" ht="15">
      <c r="A49" s="201"/>
      <c r="B49" s="230"/>
      <c r="C49" s="231">
        <f>SUM(B40*C40)*86.66666666666+SUM(B41*C41)*86.666666666666+SUM(B42*C42)*151.57+SUM(B43*C43)*151.57+SUM(B44*C44)*151.57+SUM(B45*C45)*130+SUM(B46*C46)*151.57+SUM(B47*C47)*151.57</f>
        <v>0</v>
      </c>
      <c r="D49" s="232" t="s">
        <v>194</v>
      </c>
      <c r="E49" s="233"/>
      <c r="F49" s="230"/>
      <c r="G49" s="230"/>
      <c r="H49" s="230"/>
      <c r="I49" s="230"/>
    </row>
    <row r="50" spans="1:9" ht="15">
      <c r="A50" s="201"/>
      <c r="B50" s="230"/>
      <c r="C50" s="230">
        <f>C49/151.57/12</f>
        <v>0</v>
      </c>
      <c r="D50" s="235" t="s">
        <v>195</v>
      </c>
      <c r="E50" s="236"/>
      <c r="F50" s="230"/>
      <c r="G50" s="230"/>
      <c r="H50" s="253"/>
      <c r="I50" s="237"/>
    </row>
    <row r="51" spans="1:9" ht="15">
      <c r="A51" s="201"/>
      <c r="B51" s="201"/>
      <c r="C51" s="201"/>
      <c r="D51" s="248"/>
      <c r="E51" s="249"/>
      <c r="F51" s="201"/>
      <c r="G51" s="201"/>
      <c r="I51" s="239"/>
    </row>
    <row r="52" spans="1:9" ht="15">
      <c r="A52" s="201"/>
      <c r="B52" s="201"/>
      <c r="C52" s="201"/>
      <c r="D52" s="201"/>
      <c r="E52" s="238"/>
      <c r="F52" s="201"/>
      <c r="G52" s="201"/>
      <c r="H52" s="201"/>
      <c r="I52" s="201"/>
    </row>
    <row r="53" spans="1:9" ht="15">
      <c r="A53" s="238"/>
      <c r="B53" s="254"/>
      <c r="C53" s="238"/>
      <c r="D53" s="238"/>
      <c r="E53" s="238"/>
      <c r="F53" s="238"/>
      <c r="G53" s="255"/>
      <c r="H53" s="255"/>
      <c r="I53" s="238"/>
    </row>
    <row r="54" spans="1:9" ht="15">
      <c r="A54" s="238"/>
      <c r="B54" s="254"/>
      <c r="C54" s="238"/>
      <c r="D54" s="238"/>
      <c r="E54" s="238"/>
      <c r="F54" s="198"/>
      <c r="G54" s="198"/>
      <c r="H54" s="198"/>
      <c r="I54" s="198"/>
    </row>
    <row r="57" spans="7:8" ht="15">
      <c r="G57" s="201"/>
      <c r="H57" s="256"/>
    </row>
    <row r="58" spans="7:8" ht="15">
      <c r="G58" s="201"/>
      <c r="H58" s="256"/>
    </row>
  </sheetData>
  <mergeCells count="3">
    <mergeCell ref="A2:B2"/>
    <mergeCell ref="D2:I2"/>
    <mergeCell ref="A3:B3"/>
  </mergeCells>
  <conditionalFormatting sqref="A15 A31">
    <cfRule type="expression" priority="1" dxfId="0" stopIfTrue="1">
      <formula>IF(C15&gt;0,IF(A15&gt;1,FALSE,TRUE),FALSE)</formula>
    </cfRule>
  </conditionalFormatting>
  <printOptions/>
  <pageMargins left="0.7902777777777777" right="0.7479166666666667" top="0.49027777777777776" bottom="0.5298611111111111" header="0.22013888888888888" footer="0.5118055555555555"/>
  <pageSetup horizontalDpi="300" verticalDpi="300" orientation="landscape" paperSize="9" scale="68"/>
  <headerFooter alignWithMargins="0">
    <oddHeader>&amp;C&amp;"Arial,Gras"&amp;12Détails de certaines charges</oddHeader>
  </headerFooter>
  <legacyDrawing r:id="rId2"/>
</worksheet>
</file>

<file path=xl/worksheets/sheet6.xml><?xml version="1.0" encoding="utf-8"?>
<worksheet xmlns="http://schemas.openxmlformats.org/spreadsheetml/2006/main" xmlns:r="http://schemas.openxmlformats.org/officeDocument/2006/relationships">
  <dimension ref="A1:IV76"/>
  <sheetViews>
    <sheetView showGridLines="0" zoomScaleSheetLayoutView="50" workbookViewId="0" topLeftCell="A1">
      <selection activeCell="A13" sqref="A13"/>
    </sheetView>
  </sheetViews>
  <sheetFormatPr defaultColWidth="11.421875" defaultRowHeight="12.75"/>
  <cols>
    <col min="1" max="1" width="6.140625" style="257" customWidth="1"/>
    <col min="2" max="2" width="43.8515625" style="257" customWidth="1"/>
    <col min="3" max="3" width="19.421875" style="257" customWidth="1"/>
    <col min="4" max="4" width="17.421875" style="257" customWidth="1"/>
    <col min="5" max="7" width="16.00390625" style="257" customWidth="1"/>
    <col min="8" max="8" width="17.57421875" style="257" customWidth="1"/>
    <col min="9" max="9" width="18.57421875" style="257" customWidth="1"/>
    <col min="10" max="10" width="17.8515625" style="257" customWidth="1"/>
    <col min="11" max="11" width="18.140625" style="257" customWidth="1"/>
    <col min="12" max="12" width="18.7109375" style="257" customWidth="1"/>
    <col min="13" max="13" width="16.57421875" style="257" customWidth="1"/>
    <col min="14" max="14" width="16.28125" style="257" customWidth="1"/>
    <col min="15" max="15" width="15.140625" style="257" customWidth="1"/>
    <col min="16" max="16" width="14.7109375" style="257" customWidth="1"/>
    <col min="17" max="16384" width="11.421875" style="257" customWidth="1"/>
  </cols>
  <sheetData>
    <row r="1" ht="15">
      <c r="G1" s="257" t="s">
        <v>201</v>
      </c>
    </row>
    <row r="3" spans="1:15" ht="15">
      <c r="A3" s="258">
        <f>'Plan de financement'!A4</f>
        <v>0</v>
      </c>
      <c r="B3" s="258"/>
      <c r="C3" s="259" t="s">
        <v>202</v>
      </c>
      <c r="D3" s="259" t="s">
        <v>203</v>
      </c>
      <c r="E3" s="259" t="s">
        <v>204</v>
      </c>
      <c r="F3" s="259" t="s">
        <v>205</v>
      </c>
      <c r="G3" s="259" t="s">
        <v>206</v>
      </c>
      <c r="H3" s="259" t="s">
        <v>207</v>
      </c>
      <c r="I3" s="259" t="s">
        <v>208</v>
      </c>
      <c r="J3" s="259" t="s">
        <v>209</v>
      </c>
      <c r="K3" s="259" t="s">
        <v>210</v>
      </c>
      <c r="L3" s="259" t="s">
        <v>211</v>
      </c>
      <c r="M3" s="259" t="s">
        <v>212</v>
      </c>
      <c r="N3" s="259" t="s">
        <v>213</v>
      </c>
      <c r="O3" s="260" t="s">
        <v>214</v>
      </c>
    </row>
    <row r="4" spans="1:15" ht="15" customHeight="1">
      <c r="A4" s="261" t="s">
        <v>215</v>
      </c>
      <c r="B4" s="261"/>
      <c r="C4" s="262"/>
      <c r="D4" s="263"/>
      <c r="E4" s="262"/>
      <c r="F4" s="262"/>
      <c r="G4" s="262"/>
      <c r="H4" s="262"/>
      <c r="I4" s="262"/>
      <c r="J4" s="262"/>
      <c r="K4" s="262"/>
      <c r="L4" s="262"/>
      <c r="M4" s="262"/>
      <c r="N4" s="264"/>
      <c r="O4" s="265"/>
    </row>
    <row r="5" spans="1:15" ht="15.75">
      <c r="A5" s="266" t="s">
        <v>216</v>
      </c>
      <c r="B5" s="266"/>
      <c r="C5" s="262"/>
      <c r="D5" s="263"/>
      <c r="E5" s="262"/>
      <c r="F5" s="262"/>
      <c r="G5" s="262"/>
      <c r="H5" s="262"/>
      <c r="I5" s="262"/>
      <c r="J5" s="262"/>
      <c r="K5" s="262"/>
      <c r="L5" s="262"/>
      <c r="M5" s="262"/>
      <c r="N5" s="264"/>
      <c r="O5" s="265"/>
    </row>
    <row r="6" spans="1:15" ht="15.75">
      <c r="A6" s="267" t="s">
        <v>217</v>
      </c>
      <c r="B6" s="267"/>
      <c r="C6" s="56">
        <f>'Plan de financement'!B30</f>
        <v>0</v>
      </c>
      <c r="D6" s="263"/>
      <c r="E6" s="262"/>
      <c r="F6" s="262"/>
      <c r="G6" s="262"/>
      <c r="H6" s="262"/>
      <c r="I6" s="262"/>
      <c r="J6" s="262"/>
      <c r="K6" s="262"/>
      <c r="L6" s="262"/>
      <c r="M6" s="262"/>
      <c r="N6" s="264"/>
      <c r="O6" s="268">
        <f aca="true" t="shared" si="0" ref="O6:O59">SUM(C6:N6)</f>
        <v>0</v>
      </c>
    </row>
    <row r="7" spans="1:15" ht="15.75">
      <c r="A7" s="267" t="s">
        <v>218</v>
      </c>
      <c r="B7" s="267"/>
      <c r="C7" s="56">
        <f>'Plan de financement'!B31</f>
        <v>0</v>
      </c>
      <c r="D7" s="263"/>
      <c r="E7" s="262"/>
      <c r="F7" s="262"/>
      <c r="G7" s="262"/>
      <c r="H7" s="262"/>
      <c r="I7" s="262"/>
      <c r="J7" s="262"/>
      <c r="K7" s="262"/>
      <c r="L7" s="262"/>
      <c r="M7" s="262"/>
      <c r="N7" s="264"/>
      <c r="O7" s="268">
        <f t="shared" si="0"/>
        <v>0</v>
      </c>
    </row>
    <row r="8" spans="1:15" ht="15.75">
      <c r="A8" s="267" t="s">
        <v>219</v>
      </c>
      <c r="B8" s="267"/>
      <c r="C8" s="56">
        <f>'Plan de financement'!B32</f>
        <v>0</v>
      </c>
      <c r="D8" s="263"/>
      <c r="E8" s="262"/>
      <c r="F8" s="262"/>
      <c r="G8" s="262"/>
      <c r="H8" s="262"/>
      <c r="I8" s="262"/>
      <c r="J8" s="262"/>
      <c r="K8" s="262"/>
      <c r="L8" s="262"/>
      <c r="M8" s="262"/>
      <c r="N8" s="264"/>
      <c r="O8" s="268">
        <f t="shared" si="0"/>
        <v>0</v>
      </c>
    </row>
    <row r="9" spans="1:15" ht="15.75">
      <c r="A9" s="267" t="s">
        <v>72</v>
      </c>
      <c r="B9" s="267"/>
      <c r="C9" s="269"/>
      <c r="D9" s="58">
        <f>'Plan de financement'!B36</f>
        <v>0</v>
      </c>
      <c r="E9" s="262"/>
      <c r="F9" s="262"/>
      <c r="G9" s="262"/>
      <c r="H9" s="262"/>
      <c r="I9" s="262"/>
      <c r="J9" s="262"/>
      <c r="K9" s="262"/>
      <c r="L9" s="262"/>
      <c r="M9" s="262"/>
      <c r="N9" s="264"/>
      <c r="O9" s="268">
        <f>SUM(D9:N9)</f>
        <v>0</v>
      </c>
    </row>
    <row r="10" spans="1:15" ht="15.75">
      <c r="A10" s="267" t="s">
        <v>73</v>
      </c>
      <c r="B10" s="267"/>
      <c r="C10" s="269"/>
      <c r="D10" s="58">
        <f>'Plan de financement'!B37</f>
        <v>0</v>
      </c>
      <c r="E10" s="262"/>
      <c r="F10" s="262"/>
      <c r="G10" s="262"/>
      <c r="H10" s="262"/>
      <c r="I10" s="262"/>
      <c r="J10" s="262"/>
      <c r="K10" s="262"/>
      <c r="L10" s="262"/>
      <c r="M10" s="262"/>
      <c r="N10" s="264"/>
      <c r="O10" s="268">
        <f>SUM(D10:N10)</f>
        <v>0</v>
      </c>
    </row>
    <row r="11" spans="1:15" ht="15">
      <c r="A11" s="267" t="s">
        <v>74</v>
      </c>
      <c r="B11" s="267"/>
      <c r="C11" s="269"/>
      <c r="D11" s="58">
        <f>'Plan de financement'!B38</f>
        <v>0</v>
      </c>
      <c r="E11" s="262"/>
      <c r="F11" s="262"/>
      <c r="G11" s="262"/>
      <c r="H11" s="262"/>
      <c r="I11" s="262"/>
      <c r="J11" s="262"/>
      <c r="K11" s="262"/>
      <c r="L11" s="262"/>
      <c r="M11" s="262"/>
      <c r="N11" s="264"/>
      <c r="O11" s="268">
        <f>SUM(D11:N11)</f>
        <v>0</v>
      </c>
    </row>
    <row r="12" spans="1:15" ht="15.75">
      <c r="A12" s="267" t="s">
        <v>75</v>
      </c>
      <c r="B12" s="267"/>
      <c r="C12" s="269"/>
      <c r="D12" s="58">
        <f>'Plan de financement'!B39</f>
        <v>0</v>
      </c>
      <c r="E12" s="262"/>
      <c r="F12" s="262"/>
      <c r="G12" s="262"/>
      <c r="H12" s="262"/>
      <c r="I12" s="262"/>
      <c r="J12" s="262"/>
      <c r="K12" s="262"/>
      <c r="L12" s="262"/>
      <c r="M12" s="262"/>
      <c r="N12" s="264"/>
      <c r="O12" s="268">
        <f>SUM(D12:N12)</f>
        <v>0</v>
      </c>
    </row>
    <row r="13" spans="1:15" ht="15.75">
      <c r="A13" s="267" t="s">
        <v>76</v>
      </c>
      <c r="B13" s="267"/>
      <c r="C13" s="56">
        <f>'Plan de financement'!B40</f>
        <v>0</v>
      </c>
      <c r="D13" s="263"/>
      <c r="E13" s="262"/>
      <c r="F13" s="262"/>
      <c r="G13" s="262"/>
      <c r="H13" s="262"/>
      <c r="I13" s="262"/>
      <c r="J13" s="262"/>
      <c r="K13" s="262"/>
      <c r="L13" s="262"/>
      <c r="M13" s="262"/>
      <c r="N13" s="264"/>
      <c r="O13" s="268">
        <f t="shared" si="0"/>
        <v>0</v>
      </c>
    </row>
    <row r="14" spans="1:15" ht="15.75">
      <c r="A14" s="267" t="s">
        <v>77</v>
      </c>
      <c r="B14" s="267"/>
      <c r="C14" s="56">
        <f>'Plan de financement'!B41</f>
        <v>0</v>
      </c>
      <c r="D14" s="263"/>
      <c r="E14" s="262"/>
      <c r="F14" s="262"/>
      <c r="G14" s="262"/>
      <c r="H14" s="262"/>
      <c r="I14" s="262"/>
      <c r="J14" s="262"/>
      <c r="K14" s="262"/>
      <c r="L14" s="262"/>
      <c r="M14" s="262"/>
      <c r="N14" s="264"/>
      <c r="O14" s="268">
        <f t="shared" si="0"/>
        <v>0</v>
      </c>
    </row>
    <row r="15" spans="1:15" ht="15.75">
      <c r="A15" s="267" t="str">
        <f>'Plan de financement'!A44</f>
        <v>Prêts bancaires</v>
      </c>
      <c r="B15" s="267"/>
      <c r="C15" s="56">
        <f>'Plan de financement'!B44</f>
        <v>0</v>
      </c>
      <c r="D15" s="263"/>
      <c r="E15" s="262"/>
      <c r="F15" s="262"/>
      <c r="G15" s="262"/>
      <c r="H15" s="262"/>
      <c r="I15" s="262"/>
      <c r="J15" s="262"/>
      <c r="K15" s="262"/>
      <c r="L15" s="262"/>
      <c r="M15" s="262"/>
      <c r="N15" s="264"/>
      <c r="O15" s="268">
        <f t="shared" si="0"/>
        <v>0</v>
      </c>
    </row>
    <row r="16" spans="1:15" ht="15.75">
      <c r="A16" s="270">
        <f>'Plan de financement'!A45</f>
        <v>0</v>
      </c>
      <c r="B16" s="270"/>
      <c r="C16" s="271"/>
      <c r="D16" s="263"/>
      <c r="E16" s="262"/>
      <c r="F16" s="262"/>
      <c r="G16" s="262"/>
      <c r="H16" s="262"/>
      <c r="I16" s="262"/>
      <c r="J16" s="262"/>
      <c r="K16" s="262"/>
      <c r="L16" s="262"/>
      <c r="M16" s="262"/>
      <c r="N16" s="264"/>
      <c r="O16" s="265"/>
    </row>
    <row r="17" spans="1:15" ht="15.75">
      <c r="A17" s="272" t="s">
        <v>220</v>
      </c>
      <c r="B17" s="272"/>
      <c r="C17" s="271"/>
      <c r="D17" s="263"/>
      <c r="E17" s="262"/>
      <c r="F17" s="262"/>
      <c r="G17" s="262"/>
      <c r="H17" s="262"/>
      <c r="I17" s="262"/>
      <c r="J17" s="262"/>
      <c r="K17" s="262"/>
      <c r="L17" s="262"/>
      <c r="M17" s="262"/>
      <c r="N17" s="264"/>
      <c r="O17" s="265"/>
    </row>
    <row r="18" spans="1:15" ht="15.75">
      <c r="A18" s="273" t="s">
        <v>221</v>
      </c>
      <c r="B18" s="273"/>
      <c r="C18" s="271"/>
      <c r="D18" s="274"/>
      <c r="E18" s="275">
        <f>'Compte de résultat'!B10/6</f>
        <v>0</v>
      </c>
      <c r="F18" s="271"/>
      <c r="G18" s="275">
        <f>'Compte de résultat'!B10/6</f>
        <v>0</v>
      </c>
      <c r="H18" s="271"/>
      <c r="I18" s="275">
        <f>'Compte de résultat'!B10/6</f>
        <v>0</v>
      </c>
      <c r="J18" s="271"/>
      <c r="K18" s="275">
        <f>'Compte de résultat'!B10/6</f>
        <v>0</v>
      </c>
      <c r="L18" s="271"/>
      <c r="M18" s="275">
        <f>'Compte de résultat'!B10/6</f>
        <v>0</v>
      </c>
      <c r="N18" s="271"/>
      <c r="O18" s="268">
        <f aca="true" t="shared" si="1" ref="O18:O24">SUM(C18:N18)</f>
        <v>0</v>
      </c>
    </row>
    <row r="19" spans="1:15" ht="15.75">
      <c r="A19" s="273" t="s">
        <v>58</v>
      </c>
      <c r="B19" s="273"/>
      <c r="C19" s="271"/>
      <c r="D19" s="274"/>
      <c r="E19" s="275">
        <f>'Compte de résultat'!B11/6</f>
        <v>0</v>
      </c>
      <c r="F19" s="271"/>
      <c r="G19" s="275">
        <f>'Compte de résultat'!B11/6</f>
        <v>0</v>
      </c>
      <c r="H19" s="271"/>
      <c r="I19" s="275">
        <f>'Compte de résultat'!B11/6</f>
        <v>0</v>
      </c>
      <c r="J19" s="271"/>
      <c r="K19" s="275">
        <f>'Compte de résultat'!B11/6</f>
        <v>0</v>
      </c>
      <c r="L19" s="271"/>
      <c r="M19" s="275">
        <f>'Compte de résultat'!B11/6</f>
        <v>0</v>
      </c>
      <c r="N19" s="271"/>
      <c r="O19" s="268">
        <f t="shared" si="1"/>
        <v>0</v>
      </c>
    </row>
    <row r="20" spans="1:15" ht="15.75">
      <c r="A20" s="273" t="s">
        <v>59</v>
      </c>
      <c r="B20" s="273"/>
      <c r="C20" s="275">
        <f>'Compte de résultat'!B12/12</f>
        <v>0</v>
      </c>
      <c r="D20" s="276">
        <f>'Compte de résultat'!B12/12</f>
        <v>0</v>
      </c>
      <c r="E20" s="275">
        <f>'Compte de résultat'!B12/12</f>
        <v>0</v>
      </c>
      <c r="F20" s="275">
        <f>'Compte de résultat'!B12/12</f>
        <v>0</v>
      </c>
      <c r="G20" s="275">
        <f>'Compte de résultat'!B12/12</f>
        <v>0</v>
      </c>
      <c r="H20" s="275">
        <f>'Compte de résultat'!B12/12</f>
        <v>0</v>
      </c>
      <c r="I20" s="275">
        <f>'Compte de résultat'!B12/12</f>
        <v>0</v>
      </c>
      <c r="J20" s="275">
        <f>'Compte de résultat'!B12/12</f>
        <v>0</v>
      </c>
      <c r="K20" s="275">
        <f>'Compte de résultat'!B12/12</f>
        <v>0</v>
      </c>
      <c r="L20" s="275">
        <f>'Compte de résultat'!B12/12</f>
        <v>0</v>
      </c>
      <c r="M20" s="275">
        <f>'Compte de résultat'!B12/12</f>
        <v>0</v>
      </c>
      <c r="N20" s="275">
        <f>'Compte de résultat'!B12/12</f>
        <v>0</v>
      </c>
      <c r="O20" s="268">
        <f t="shared" si="1"/>
        <v>0</v>
      </c>
    </row>
    <row r="21" spans="1:15" ht="15.75">
      <c r="A21" s="273" t="s">
        <v>60</v>
      </c>
      <c r="B21" s="273"/>
      <c r="C21" s="271"/>
      <c r="D21" s="274"/>
      <c r="E21" s="275">
        <f>'Compte de résultat'!B13/6</f>
        <v>0</v>
      </c>
      <c r="F21" s="271"/>
      <c r="G21" s="275">
        <f>'Compte de résultat'!B13/6</f>
        <v>0</v>
      </c>
      <c r="H21" s="271"/>
      <c r="I21" s="275">
        <f>'Compte de résultat'!B13/6</f>
        <v>0</v>
      </c>
      <c r="J21" s="271"/>
      <c r="K21" s="275">
        <f>'Compte de résultat'!B13/6</f>
        <v>0</v>
      </c>
      <c r="L21" s="271"/>
      <c r="M21" s="275">
        <f>'Compte de résultat'!B13/6</f>
        <v>0</v>
      </c>
      <c r="N21" s="271"/>
      <c r="O21" s="268">
        <f t="shared" si="1"/>
        <v>0</v>
      </c>
    </row>
    <row r="22" spans="1:15" ht="15.75">
      <c r="A22" s="273" t="s">
        <v>61</v>
      </c>
      <c r="B22" s="273"/>
      <c r="C22" s="271"/>
      <c r="D22" s="274"/>
      <c r="E22" s="271"/>
      <c r="F22" s="275">
        <f>'Compte de résultat'!B15/4</f>
        <v>5602.2075</v>
      </c>
      <c r="G22" s="271"/>
      <c r="H22" s="271"/>
      <c r="I22" s="275">
        <f>'Compte de résultat'!B15/4</f>
        <v>5602.2075</v>
      </c>
      <c r="J22" s="271"/>
      <c r="K22" s="271"/>
      <c r="L22" s="275">
        <f>'Compte de résultat'!B15/4</f>
        <v>5602.2075</v>
      </c>
      <c r="M22" s="271"/>
      <c r="N22" s="271"/>
      <c r="O22" s="268">
        <f t="shared" si="1"/>
        <v>16806.6225</v>
      </c>
    </row>
    <row r="23" spans="1:15" ht="15.75">
      <c r="A23" s="273" t="s">
        <v>71</v>
      </c>
      <c r="B23" s="273"/>
      <c r="C23" s="271"/>
      <c r="D23" s="263"/>
      <c r="E23" s="262"/>
      <c r="F23" s="277">
        <f>'Compte de résultat'!B26</f>
        <v>0</v>
      </c>
      <c r="G23" s="262"/>
      <c r="H23" s="262"/>
      <c r="I23" s="262"/>
      <c r="J23" s="262"/>
      <c r="K23" s="262"/>
      <c r="L23" s="262"/>
      <c r="M23" s="262"/>
      <c r="N23" s="264"/>
      <c r="O23" s="268">
        <f t="shared" si="1"/>
        <v>0</v>
      </c>
    </row>
    <row r="24" spans="1:256" ht="15.75">
      <c r="A24" s="278" t="s">
        <v>78</v>
      </c>
      <c r="B24" s="278"/>
      <c r="C24" s="279">
        <f>'Compte de résultat'!B34/12</f>
        <v>0</v>
      </c>
      <c r="D24" s="280">
        <f>'Compte de résultat'!B34/12</f>
        <v>0</v>
      </c>
      <c r="E24" s="277">
        <f>'Compte de résultat'!B34/12</f>
        <v>0</v>
      </c>
      <c r="F24" s="277">
        <f>'Compte de résultat'!B34/12</f>
        <v>0</v>
      </c>
      <c r="G24" s="277">
        <f>'Compte de résultat'!B34/12</f>
        <v>0</v>
      </c>
      <c r="H24" s="277">
        <f>'Compte de résultat'!B34/12</f>
        <v>0</v>
      </c>
      <c r="I24" s="277">
        <f>'Compte de résultat'!B34/12</f>
        <v>0</v>
      </c>
      <c r="J24" s="277">
        <f>'Compte de résultat'!B34/12</f>
        <v>0</v>
      </c>
      <c r="K24" s="277">
        <f>'Compte de résultat'!B34/12</f>
        <v>0</v>
      </c>
      <c r="L24" s="277">
        <f>'Compte de résultat'!B34/12</f>
        <v>0</v>
      </c>
      <c r="M24" s="277">
        <f>'Compte de résultat'!B34/12</f>
        <v>0</v>
      </c>
      <c r="N24" s="277">
        <f>'Compte de résultat'!B34/12</f>
        <v>0</v>
      </c>
      <c r="O24" s="268">
        <f t="shared" si="1"/>
        <v>0</v>
      </c>
      <c r="P24" s="281"/>
      <c r="IV24" s="282"/>
    </row>
    <row r="25" spans="1:16" ht="15" customHeight="1">
      <c r="A25" s="283" t="s">
        <v>222</v>
      </c>
      <c r="B25" s="283"/>
      <c r="C25" s="284">
        <f>SUM(C6:C24)</f>
        <v>0</v>
      </c>
      <c r="D25" s="284">
        <f>SUM(D6:D24)</f>
        <v>0</v>
      </c>
      <c r="E25" s="284">
        <f>SUM(E6:E24)</f>
        <v>0</v>
      </c>
      <c r="F25" s="284">
        <f aca="true" t="shared" si="2" ref="F25:N25">SUM(F6:F24)</f>
        <v>5602.2075</v>
      </c>
      <c r="G25" s="284">
        <f t="shared" si="2"/>
        <v>0</v>
      </c>
      <c r="H25" s="284">
        <f t="shared" si="2"/>
        <v>0</v>
      </c>
      <c r="I25" s="284">
        <f t="shared" si="2"/>
        <v>5602.2075</v>
      </c>
      <c r="J25" s="284">
        <f t="shared" si="2"/>
        <v>0</v>
      </c>
      <c r="K25" s="284">
        <f t="shared" si="2"/>
        <v>0</v>
      </c>
      <c r="L25" s="284">
        <f t="shared" si="2"/>
        <v>5602.2075</v>
      </c>
      <c r="M25" s="284">
        <f t="shared" si="2"/>
        <v>0</v>
      </c>
      <c r="N25" s="284">
        <f t="shared" si="2"/>
        <v>0</v>
      </c>
      <c r="O25" s="285">
        <f>SUM(O4:O24)</f>
        <v>16806.6225</v>
      </c>
      <c r="P25" s="281"/>
    </row>
    <row r="26" spans="1:15" ht="15" customHeight="1">
      <c r="A26" s="270"/>
      <c r="B26" s="286"/>
      <c r="C26" s="287"/>
      <c r="D26" s="287"/>
      <c r="E26" s="287"/>
      <c r="F26" s="287"/>
      <c r="G26" s="287"/>
      <c r="H26" s="287"/>
      <c r="I26" s="287"/>
      <c r="J26" s="287"/>
      <c r="K26" s="287"/>
      <c r="L26" s="287"/>
      <c r="M26" s="287"/>
      <c r="N26" s="288"/>
      <c r="O26" s="289"/>
    </row>
    <row r="27" spans="1:15" ht="15" customHeight="1">
      <c r="A27" s="290" t="s">
        <v>223</v>
      </c>
      <c r="B27" s="290"/>
      <c r="C27" s="287"/>
      <c r="D27" s="287"/>
      <c r="E27" s="287"/>
      <c r="F27" s="287"/>
      <c r="G27" s="287"/>
      <c r="H27" s="287"/>
      <c r="I27" s="287"/>
      <c r="J27" s="287"/>
      <c r="K27" s="287"/>
      <c r="L27" s="287"/>
      <c r="M27" s="287"/>
      <c r="N27" s="288"/>
      <c r="O27" s="265"/>
    </row>
    <row r="28" spans="1:15" ht="15.75">
      <c r="A28" s="291" t="s">
        <v>224</v>
      </c>
      <c r="B28" s="291"/>
      <c r="C28" s="262"/>
      <c r="D28" s="262"/>
      <c r="E28" s="262"/>
      <c r="F28" s="262"/>
      <c r="G28" s="262"/>
      <c r="H28" s="262"/>
      <c r="I28" s="262"/>
      <c r="J28" s="262"/>
      <c r="K28" s="262"/>
      <c r="L28" s="262"/>
      <c r="M28" s="262"/>
      <c r="N28" s="264"/>
      <c r="O28" s="265"/>
    </row>
    <row r="29" spans="1:15" ht="15.75">
      <c r="A29" s="292" t="s">
        <v>225</v>
      </c>
      <c r="B29" s="292"/>
      <c r="C29" s="277">
        <f>'Plan de financement'!B7</f>
        <v>0</v>
      </c>
      <c r="D29" s="262"/>
      <c r="E29" s="262"/>
      <c r="F29" s="262"/>
      <c r="G29" s="262"/>
      <c r="H29" s="262"/>
      <c r="I29" s="262"/>
      <c r="J29" s="262"/>
      <c r="K29" s="262"/>
      <c r="L29" s="262"/>
      <c r="M29" s="262"/>
      <c r="N29" s="264"/>
      <c r="O29" s="268">
        <f t="shared" si="0"/>
        <v>0</v>
      </c>
    </row>
    <row r="30" spans="1:15" ht="15.75">
      <c r="A30" s="293" t="s">
        <v>226</v>
      </c>
      <c r="B30" s="293"/>
      <c r="C30" s="277">
        <f>'Plan de financement'!B11</f>
        <v>0</v>
      </c>
      <c r="D30" s="262"/>
      <c r="E30" s="262"/>
      <c r="F30" s="262"/>
      <c r="G30" s="262"/>
      <c r="H30" s="262"/>
      <c r="I30" s="262"/>
      <c r="J30" s="262"/>
      <c r="K30" s="262"/>
      <c r="L30" s="262"/>
      <c r="M30" s="262"/>
      <c r="N30" s="264"/>
      <c r="O30" s="268">
        <f t="shared" si="0"/>
        <v>0</v>
      </c>
    </row>
    <row r="31" spans="1:15" ht="15.75">
      <c r="A31" s="293" t="s">
        <v>227</v>
      </c>
      <c r="B31" s="293"/>
      <c r="C31" s="277">
        <f>'Plan de financement'!B18</f>
        <v>0</v>
      </c>
      <c r="D31" s="262"/>
      <c r="E31" s="262"/>
      <c r="F31" s="262"/>
      <c r="G31" s="262"/>
      <c r="H31" s="262"/>
      <c r="I31" s="262"/>
      <c r="J31" s="262"/>
      <c r="K31" s="262"/>
      <c r="L31" s="262"/>
      <c r="M31" s="262"/>
      <c r="N31" s="264"/>
      <c r="O31" s="268">
        <f t="shared" si="0"/>
        <v>0</v>
      </c>
    </row>
    <row r="32" spans="1:15" ht="15.75">
      <c r="A32" s="272" t="s">
        <v>220</v>
      </c>
      <c r="B32" s="272"/>
      <c r="C32" s="262"/>
      <c r="D32" s="262"/>
      <c r="E32" s="262"/>
      <c r="F32" s="262"/>
      <c r="G32" s="262"/>
      <c r="H32" s="262"/>
      <c r="I32" s="262"/>
      <c r="J32" s="262"/>
      <c r="K32" s="262"/>
      <c r="L32" s="262"/>
      <c r="M32" s="262"/>
      <c r="N32" s="264"/>
      <c r="O32" s="289">
        <f t="shared" si="0"/>
        <v>0</v>
      </c>
    </row>
    <row r="33" spans="1:15" ht="15.75">
      <c r="A33" s="270" t="s">
        <v>80</v>
      </c>
      <c r="B33" s="270"/>
      <c r="C33" s="262"/>
      <c r="D33" s="277">
        <f>'Compte de résultat'!B38/12</f>
        <v>0</v>
      </c>
      <c r="E33" s="277">
        <f>'Compte de résultat'!B38/12</f>
        <v>0</v>
      </c>
      <c r="F33" s="277">
        <f>'Compte de résultat'!B38/12</f>
        <v>0</v>
      </c>
      <c r="G33" s="277">
        <f>'Compte de résultat'!B38/12</f>
        <v>0</v>
      </c>
      <c r="H33" s="277">
        <f>'Compte de résultat'!B38/12</f>
        <v>0</v>
      </c>
      <c r="I33" s="277">
        <f>'Compte de résultat'!B38/12</f>
        <v>0</v>
      </c>
      <c r="J33" s="277">
        <f>'Compte de résultat'!B38/12</f>
        <v>0</v>
      </c>
      <c r="K33" s="277">
        <f>'Compte de résultat'!B38/12</f>
        <v>0</v>
      </c>
      <c r="L33" s="277">
        <f>'Compte de résultat'!B38/12</f>
        <v>0</v>
      </c>
      <c r="M33" s="277">
        <f>'Compte de résultat'!B38/12</f>
        <v>0</v>
      </c>
      <c r="N33" s="277">
        <f>'Compte de résultat'!L38/12</f>
        <v>0</v>
      </c>
      <c r="O33" s="268">
        <f t="shared" si="0"/>
        <v>0</v>
      </c>
    </row>
    <row r="34" spans="1:15" ht="15">
      <c r="A34" s="270" t="s">
        <v>228</v>
      </c>
      <c r="B34" s="270"/>
      <c r="C34" s="277">
        <f>'Compte de résultat'!B46/12</f>
        <v>0</v>
      </c>
      <c r="D34" s="277">
        <f>'Compte de résultat'!B46/12</f>
        <v>0</v>
      </c>
      <c r="E34" s="277">
        <f>'Compte de résultat'!B46/12</f>
        <v>0</v>
      </c>
      <c r="F34" s="277">
        <f>'Compte de résultat'!C46/12</f>
        <v>0</v>
      </c>
      <c r="G34" s="277">
        <f>'Compte de résultat'!B46/12</f>
        <v>0</v>
      </c>
      <c r="H34" s="277">
        <f>'Compte de résultat'!B46/12</f>
        <v>0</v>
      </c>
      <c r="I34" s="277">
        <f>'Compte de résultat'!B46/12</f>
        <v>0</v>
      </c>
      <c r="J34" s="277">
        <f>'Compte de résultat'!B46/12</f>
        <v>0</v>
      </c>
      <c r="K34" s="277">
        <f>'Compte de résultat'!B46/12</f>
        <v>0</v>
      </c>
      <c r="L34" s="277">
        <f>'Compte de résultat'!B46/12</f>
        <v>0</v>
      </c>
      <c r="M34" s="277">
        <f>'Compte de résultat'!B46/12</f>
        <v>0</v>
      </c>
      <c r="N34" s="277">
        <f>'Compte de résultat'!B46/12</f>
        <v>0</v>
      </c>
      <c r="O34" s="268">
        <f t="shared" si="0"/>
        <v>0</v>
      </c>
    </row>
    <row r="35" spans="1:15" ht="15">
      <c r="A35" s="267" t="s">
        <v>229</v>
      </c>
      <c r="B35" s="267"/>
      <c r="C35" s="262"/>
      <c r="D35" s="277">
        <f>'Compte de résultat'!B47/12</f>
        <v>0</v>
      </c>
      <c r="E35" s="277">
        <f>'Compte de résultat'!B47/12</f>
        <v>0</v>
      </c>
      <c r="F35" s="277">
        <f>'Compte de résultat'!B47/12</f>
        <v>0</v>
      </c>
      <c r="G35" s="277">
        <f>'Compte de résultat'!B47/12</f>
        <v>0</v>
      </c>
      <c r="H35" s="277">
        <f>'Compte de résultat'!B47/12</f>
        <v>0</v>
      </c>
      <c r="I35" s="277">
        <f>'Compte de résultat'!B47/12</f>
        <v>0</v>
      </c>
      <c r="J35" s="277">
        <f>'Compte de résultat'!B47/12</f>
        <v>0</v>
      </c>
      <c r="K35" s="277">
        <f>'Compte de résultat'!B47/12</f>
        <v>0</v>
      </c>
      <c r="L35" s="277">
        <f>'Compte de résultat'!B47/12</f>
        <v>0</v>
      </c>
      <c r="M35" s="277">
        <f>'Compte de résultat'!B47/12</f>
        <v>0</v>
      </c>
      <c r="N35" s="277">
        <f>'Compte de résultat'!B47/12</f>
        <v>0</v>
      </c>
      <c r="O35" s="268">
        <f t="shared" si="0"/>
        <v>0</v>
      </c>
    </row>
    <row r="36" spans="1:16" ht="15.75">
      <c r="A36" s="267" t="s">
        <v>89</v>
      </c>
      <c r="B36" s="267"/>
      <c r="C36" s="277">
        <f>'Compte de résultat'!B48/12</f>
        <v>0</v>
      </c>
      <c r="D36" s="277">
        <f>'Compte de résultat'!B48/12</f>
        <v>0</v>
      </c>
      <c r="E36" s="277">
        <f>'Compte de résultat'!B48/12</f>
        <v>0</v>
      </c>
      <c r="F36" s="277">
        <f>'Compte de résultat'!B48/12</f>
        <v>0</v>
      </c>
      <c r="G36" s="277">
        <f>'Compte de résultat'!B48/12</f>
        <v>0</v>
      </c>
      <c r="H36" s="277">
        <f>'Compte de résultat'!B48/12</f>
        <v>0</v>
      </c>
      <c r="I36" s="277">
        <f>'Compte de résultat'!B48/12</f>
        <v>0</v>
      </c>
      <c r="J36" s="277">
        <f>'Compte de résultat'!B48/12</f>
        <v>0</v>
      </c>
      <c r="K36" s="277">
        <f>'Compte de résultat'!B48/12</f>
        <v>0</v>
      </c>
      <c r="L36" s="277">
        <f>'Compte de résultat'!B48/12</f>
        <v>0</v>
      </c>
      <c r="M36" s="277">
        <f>'Compte de résultat'!B48/12</f>
        <v>0</v>
      </c>
      <c r="N36" s="277">
        <f>'Compte de résultat'!B48/12</f>
        <v>0</v>
      </c>
      <c r="O36" s="268">
        <f t="shared" si="0"/>
        <v>0</v>
      </c>
      <c r="P36" s="294"/>
    </row>
    <row r="37" spans="1:15" ht="15.75">
      <c r="A37" s="267" t="s">
        <v>230</v>
      </c>
      <c r="B37" s="267"/>
      <c r="C37" s="262"/>
      <c r="D37" s="262"/>
      <c r="E37" s="277">
        <f>'Compte de résultat'!B49/6</f>
        <v>0</v>
      </c>
      <c r="F37" s="262"/>
      <c r="G37" s="277">
        <f>'Compte de résultat'!B49/6</f>
        <v>0</v>
      </c>
      <c r="H37" s="262"/>
      <c r="I37" s="277">
        <f>'Compte de résultat'!B49/6</f>
        <v>0</v>
      </c>
      <c r="J37" s="262"/>
      <c r="K37" s="277">
        <f>'Compte de résultat'!B49/6</f>
        <v>0</v>
      </c>
      <c r="L37" s="262"/>
      <c r="M37" s="277">
        <f>'Compte de résultat'!B49/6</f>
        <v>0</v>
      </c>
      <c r="N37" s="262"/>
      <c r="O37" s="268">
        <f t="shared" si="0"/>
        <v>0</v>
      </c>
    </row>
    <row r="38" spans="1:15" ht="15">
      <c r="A38" s="267" t="s">
        <v>91</v>
      </c>
      <c r="B38" s="267"/>
      <c r="C38" s="277"/>
      <c r="D38" s="277">
        <f>'Compte de résultat'!B50/12</f>
        <v>0</v>
      </c>
      <c r="E38" s="277">
        <f>'Compte de résultat'!B50/12</f>
        <v>0</v>
      </c>
      <c r="F38" s="277">
        <f>'Compte de résultat'!B50/12</f>
        <v>0</v>
      </c>
      <c r="G38" s="277">
        <f>'Compte de résultat'!B50/12</f>
        <v>0</v>
      </c>
      <c r="H38" s="277">
        <f>'Compte de résultat'!B50/12</f>
        <v>0</v>
      </c>
      <c r="I38" s="277">
        <f>'Compte de résultat'!B50/12</f>
        <v>0</v>
      </c>
      <c r="J38" s="277">
        <f>'Compte de résultat'!B50/12</f>
        <v>0</v>
      </c>
      <c r="K38" s="277">
        <f>'Compte de résultat'!B50/12</f>
        <v>0</v>
      </c>
      <c r="L38" s="277">
        <f>'Compte de résultat'!B50/12</f>
        <v>0</v>
      </c>
      <c r="M38" s="277">
        <f>'Compte de résultat'!B50/12</f>
        <v>0</v>
      </c>
      <c r="N38" s="277">
        <f>'Compte de résultat'!B50/12</f>
        <v>0</v>
      </c>
      <c r="O38" s="268">
        <f t="shared" si="0"/>
        <v>0</v>
      </c>
    </row>
    <row r="39" spans="1:15" ht="15">
      <c r="A39" s="267" t="s">
        <v>92</v>
      </c>
      <c r="B39" s="267"/>
      <c r="C39" s="277"/>
      <c r="D39" s="277">
        <f>'Compte de résultat'!B51/12</f>
        <v>0</v>
      </c>
      <c r="E39" s="277">
        <f>'Compte de résultat'!B51/12</f>
        <v>0</v>
      </c>
      <c r="F39" s="277">
        <f>'Compte de résultat'!B51/12</f>
        <v>0</v>
      </c>
      <c r="G39" s="277">
        <f>'Compte de résultat'!B51/12</f>
        <v>0</v>
      </c>
      <c r="H39" s="277">
        <f>'Compte de résultat'!B51/12</f>
        <v>0</v>
      </c>
      <c r="I39" s="277">
        <f>'Compte de résultat'!B51/12</f>
        <v>0</v>
      </c>
      <c r="J39" s="277">
        <f>'Compte de résultat'!B51/12</f>
        <v>0</v>
      </c>
      <c r="K39" s="277">
        <f>'Compte de résultat'!B51/12</f>
        <v>0</v>
      </c>
      <c r="L39" s="277">
        <f>'Compte de résultat'!B51/12</f>
        <v>0</v>
      </c>
      <c r="M39" s="277">
        <f>'Compte de résultat'!B51/12</f>
        <v>0</v>
      </c>
      <c r="N39" s="277">
        <f>'Compte de résultat'!B51/12</f>
        <v>0</v>
      </c>
      <c r="O39" s="268">
        <f t="shared" si="0"/>
        <v>0</v>
      </c>
    </row>
    <row r="40" spans="1:15" ht="15">
      <c r="A40" s="270" t="s">
        <v>93</v>
      </c>
      <c r="B40" s="270"/>
      <c r="C40" s="277"/>
      <c r="D40" s="277">
        <f>'Compte de résultat'!B52/12</f>
        <v>0</v>
      </c>
      <c r="E40" s="277">
        <f>'Compte de résultat'!B52/12</f>
        <v>0</v>
      </c>
      <c r="F40" s="277">
        <f>'Compte de résultat'!B52/12</f>
        <v>0</v>
      </c>
      <c r="G40" s="277">
        <f>'Compte de résultat'!B52/12</f>
        <v>0</v>
      </c>
      <c r="H40" s="277">
        <f>'Compte de résultat'!B52/12</f>
        <v>0</v>
      </c>
      <c r="I40" s="277">
        <f>'Compte de résultat'!B52/12</f>
        <v>0</v>
      </c>
      <c r="J40" s="277">
        <f>'Compte de résultat'!B52/12</f>
        <v>0</v>
      </c>
      <c r="K40" s="277">
        <f>'Compte de résultat'!B52/12</f>
        <v>0</v>
      </c>
      <c r="L40" s="277">
        <f>'Compte de résultat'!B52/12</f>
        <v>0</v>
      </c>
      <c r="M40" s="277">
        <f>'Compte de résultat'!B52/12</f>
        <v>0</v>
      </c>
      <c r="N40" s="277">
        <f>'Compte de résultat'!B52/12</f>
        <v>0</v>
      </c>
      <c r="O40" s="268">
        <f t="shared" si="0"/>
        <v>0</v>
      </c>
    </row>
    <row r="41" spans="1:15" ht="15">
      <c r="A41" s="270" t="s">
        <v>231</v>
      </c>
      <c r="B41" s="270"/>
      <c r="C41" s="277"/>
      <c r="D41" s="277">
        <f>'Compte de résultat'!B53/12</f>
        <v>0</v>
      </c>
      <c r="E41" s="277">
        <f>'Compte de résultat'!B53/12</f>
        <v>0</v>
      </c>
      <c r="F41" s="277">
        <f>'Compte de résultat'!B53/12</f>
        <v>0</v>
      </c>
      <c r="G41" s="277">
        <f>'Compte de résultat'!B53/12</f>
        <v>0</v>
      </c>
      <c r="H41" s="277">
        <f>'Compte de résultat'!B53/12</f>
        <v>0</v>
      </c>
      <c r="I41" s="277">
        <f>'Compte de résultat'!B53/12</f>
        <v>0</v>
      </c>
      <c r="J41" s="277">
        <f>'Compte de résultat'!B53/12</f>
        <v>0</v>
      </c>
      <c r="K41" s="277">
        <f>'Compte de résultat'!B53/12</f>
        <v>0</v>
      </c>
      <c r="L41" s="277">
        <f>'Compte de résultat'!B53/12</f>
        <v>0</v>
      </c>
      <c r="M41" s="277">
        <f>'Compte de résultat'!B53/12</f>
        <v>0</v>
      </c>
      <c r="N41" s="277">
        <f>'Compte de résultat'!B53/12</f>
        <v>0</v>
      </c>
      <c r="O41" s="268">
        <f t="shared" si="0"/>
        <v>0</v>
      </c>
    </row>
    <row r="42" spans="1:15" ht="15.75">
      <c r="A42" s="270" t="s">
        <v>232</v>
      </c>
      <c r="B42" s="270"/>
      <c r="C42" s="262"/>
      <c r="D42" s="262"/>
      <c r="E42" s="262"/>
      <c r="F42" s="277">
        <f>'Compte de résultat'!B54/4</f>
        <v>0</v>
      </c>
      <c r="G42" s="262"/>
      <c r="H42" s="262"/>
      <c r="I42" s="277">
        <f>'Compte de résultat'!B54/4</f>
        <v>0</v>
      </c>
      <c r="J42" s="262"/>
      <c r="K42" s="262"/>
      <c r="L42" s="277">
        <f>'Compte de résultat'!B54/4</f>
        <v>0</v>
      </c>
      <c r="M42" s="262"/>
      <c r="N42" s="262"/>
      <c r="O42" s="268">
        <f t="shared" si="0"/>
        <v>0</v>
      </c>
    </row>
    <row r="43" spans="1:15" ht="15.75">
      <c r="A43" s="270" t="s">
        <v>233</v>
      </c>
      <c r="B43" s="270"/>
      <c r="C43" s="277">
        <f>'Compte de résultat'!B55</f>
        <v>0</v>
      </c>
      <c r="D43" s="262"/>
      <c r="E43" s="262"/>
      <c r="F43" s="262"/>
      <c r="G43" s="262"/>
      <c r="H43" s="262"/>
      <c r="I43" s="262"/>
      <c r="J43" s="262"/>
      <c r="K43" s="262"/>
      <c r="L43" s="262"/>
      <c r="M43" s="262"/>
      <c r="N43" s="264"/>
      <c r="O43" s="268">
        <f t="shared" si="0"/>
        <v>0</v>
      </c>
    </row>
    <row r="44" spans="1:15" ht="15">
      <c r="A44" s="270" t="s">
        <v>234</v>
      </c>
      <c r="B44" s="270"/>
      <c r="C44" s="277">
        <f>'Compte de résultat'!B56/12</f>
        <v>0</v>
      </c>
      <c r="D44" s="277">
        <f>'Compte de résultat'!B56/12</f>
        <v>0</v>
      </c>
      <c r="E44" s="277">
        <f>'Compte de résultat'!B56/12</f>
        <v>0</v>
      </c>
      <c r="F44" s="277">
        <f>'Compte de résultat'!B56/12</f>
        <v>0</v>
      </c>
      <c r="G44" s="277">
        <f>'Compte de résultat'!B56/12</f>
        <v>0</v>
      </c>
      <c r="H44" s="277">
        <f>'Compte de résultat'!B56/12</f>
        <v>0</v>
      </c>
      <c r="I44" s="277">
        <f>'Compte de résultat'!B56/12</f>
        <v>0</v>
      </c>
      <c r="J44" s="277">
        <f>'Compte de résultat'!B56/12</f>
        <v>0</v>
      </c>
      <c r="K44" s="277">
        <f>'Compte de résultat'!B56/12</f>
        <v>0</v>
      </c>
      <c r="L44" s="277">
        <f>'Compte de résultat'!B56/12</f>
        <v>0</v>
      </c>
      <c r="M44" s="277">
        <f>'Compte de résultat'!B56/12</f>
        <v>0</v>
      </c>
      <c r="N44" s="277">
        <f>'Compte de résultat'!B56/12</f>
        <v>0</v>
      </c>
      <c r="O44" s="268">
        <f t="shared" si="0"/>
        <v>0</v>
      </c>
    </row>
    <row r="45" spans="1:15" ht="15.75">
      <c r="A45" s="267" t="s">
        <v>98</v>
      </c>
      <c r="B45" s="267"/>
      <c r="C45" s="277">
        <f>'Compte de résultat'!B57/12</f>
        <v>0</v>
      </c>
      <c r="D45" s="277">
        <f>'Compte de résultat'!B57/12</f>
        <v>0</v>
      </c>
      <c r="E45" s="277">
        <f>'Compte de résultat'!B57/12</f>
        <v>0</v>
      </c>
      <c r="F45" s="277">
        <f>'Compte de résultat'!B57/12</f>
        <v>0</v>
      </c>
      <c r="G45" s="277">
        <f>'Compte de résultat'!B57/12</f>
        <v>0</v>
      </c>
      <c r="H45" s="277">
        <f>'Compte de résultat'!B57/12</f>
        <v>0</v>
      </c>
      <c r="I45" s="277">
        <f>'Compte de résultat'!B57/12</f>
        <v>0</v>
      </c>
      <c r="J45" s="277">
        <f>'Compte de résultat'!B57/12</f>
        <v>0</v>
      </c>
      <c r="K45" s="277">
        <f>'Compte de résultat'!B57/12</f>
        <v>0</v>
      </c>
      <c r="L45" s="277">
        <f>'Compte de résultat'!B57/12</f>
        <v>0</v>
      </c>
      <c r="M45" s="277">
        <f>'Compte de résultat'!B57/12</f>
        <v>0</v>
      </c>
      <c r="N45" s="277">
        <f>'Compte de résultat'!B57/12</f>
        <v>0</v>
      </c>
      <c r="O45" s="268">
        <f t="shared" si="0"/>
        <v>0</v>
      </c>
    </row>
    <row r="46" spans="1:15" ht="15.75">
      <c r="A46" s="270" t="s">
        <v>99</v>
      </c>
      <c r="B46" s="270"/>
      <c r="C46" s="277">
        <f>'Compte de résultat'!B58/2</f>
        <v>0</v>
      </c>
      <c r="D46" s="262"/>
      <c r="E46" s="262"/>
      <c r="F46" s="262"/>
      <c r="G46" s="262"/>
      <c r="H46" s="262"/>
      <c r="I46" s="277">
        <f>'Compte de résultat'!B58/2</f>
        <v>0</v>
      </c>
      <c r="J46" s="262"/>
      <c r="K46" s="262"/>
      <c r="L46" s="262"/>
      <c r="M46" s="262"/>
      <c r="N46" s="262"/>
      <c r="O46" s="268">
        <f t="shared" si="0"/>
        <v>0</v>
      </c>
    </row>
    <row r="47" spans="1:15" ht="15.75">
      <c r="A47" s="267" t="s">
        <v>100</v>
      </c>
      <c r="B47" s="267"/>
      <c r="C47" s="277">
        <f>'Compte de résultat'!B59</f>
        <v>0</v>
      </c>
      <c r="D47" s="262"/>
      <c r="E47" s="262"/>
      <c r="F47" s="262"/>
      <c r="G47" s="262"/>
      <c r="H47" s="262"/>
      <c r="I47" s="262"/>
      <c r="J47" s="262"/>
      <c r="K47" s="262"/>
      <c r="L47" s="262"/>
      <c r="M47" s="262"/>
      <c r="N47" s="264"/>
      <c r="O47" s="268">
        <f t="shared" si="0"/>
        <v>0</v>
      </c>
    </row>
    <row r="48" spans="1:15" ht="15.75">
      <c r="A48" s="270" t="s">
        <v>101</v>
      </c>
      <c r="B48" s="270"/>
      <c r="C48" s="277">
        <f>'Compte de résultat'!B60</f>
        <v>0</v>
      </c>
      <c r="D48" s="262"/>
      <c r="E48" s="262"/>
      <c r="F48" s="262"/>
      <c r="G48" s="262"/>
      <c r="H48" s="262"/>
      <c r="I48" s="262"/>
      <c r="J48" s="262"/>
      <c r="K48" s="262"/>
      <c r="L48" s="262"/>
      <c r="M48" s="262"/>
      <c r="N48" s="264"/>
      <c r="O48" s="268">
        <f t="shared" si="0"/>
        <v>0</v>
      </c>
    </row>
    <row r="49" spans="1:15" ht="15">
      <c r="A49" s="270" t="s">
        <v>102</v>
      </c>
      <c r="B49" s="270"/>
      <c r="C49" s="277">
        <f>'Compte de résultat'!B61/12</f>
        <v>0</v>
      </c>
      <c r="D49" s="277">
        <f>'Compte de résultat'!B61/12</f>
        <v>0</v>
      </c>
      <c r="E49" s="277">
        <f>'Compte de résultat'!B61/12</f>
        <v>0</v>
      </c>
      <c r="F49" s="277">
        <f>'Compte de résultat'!B61/12</f>
        <v>0</v>
      </c>
      <c r="G49" s="277">
        <f>'Compte de résultat'!B61/12</f>
        <v>0</v>
      </c>
      <c r="H49" s="277">
        <f>'Compte de résultat'!B61/12</f>
        <v>0</v>
      </c>
      <c r="I49" s="277">
        <f>'Compte de résultat'!B61/12</f>
        <v>0</v>
      </c>
      <c r="J49" s="277">
        <f>'Compte de résultat'!B61/12</f>
        <v>0</v>
      </c>
      <c r="K49" s="277">
        <f>'Compte de résultat'!B61/12</f>
        <v>0</v>
      </c>
      <c r="L49" s="277">
        <f>'Compte de résultat'!B61/12</f>
        <v>0</v>
      </c>
      <c r="M49" s="277">
        <f>'Compte de résultat'!B61/12</f>
        <v>0</v>
      </c>
      <c r="N49" s="277">
        <f>'Compte de résultat'!B61/12</f>
        <v>0</v>
      </c>
      <c r="O49" s="268">
        <f t="shared" si="0"/>
        <v>0</v>
      </c>
    </row>
    <row r="50" spans="1:15" ht="15">
      <c r="A50" s="267" t="s">
        <v>235</v>
      </c>
      <c r="B50" s="267"/>
      <c r="C50" s="277">
        <f>'Compte de résultat'!B62/12</f>
        <v>0</v>
      </c>
      <c r="D50" s="277">
        <f>'Compte de résultat'!B62/12</f>
        <v>0</v>
      </c>
      <c r="E50" s="277">
        <f>'Compte de résultat'!B62/12</f>
        <v>0</v>
      </c>
      <c r="F50" s="277">
        <f>'Compte de résultat'!B62/12</f>
        <v>0</v>
      </c>
      <c r="G50" s="277">
        <f>'Compte de résultat'!B62/12</f>
        <v>0</v>
      </c>
      <c r="H50" s="277">
        <f>'Compte de résultat'!B62/12</f>
        <v>0</v>
      </c>
      <c r="I50" s="277">
        <f>'Compte de résultat'!B62/12</f>
        <v>0</v>
      </c>
      <c r="J50" s="277">
        <f>'Compte de résultat'!B62/12</f>
        <v>0</v>
      </c>
      <c r="K50" s="277">
        <f>'Compte de résultat'!B62/12</f>
        <v>0</v>
      </c>
      <c r="L50" s="277">
        <f>'Compte de résultat'!B62/12</f>
        <v>0</v>
      </c>
      <c r="M50" s="277">
        <f>'Compte de résultat'!B62/12</f>
        <v>0</v>
      </c>
      <c r="N50" s="277">
        <f>'Compte de résultat'!B62/12</f>
        <v>0</v>
      </c>
      <c r="O50" s="268">
        <f t="shared" si="0"/>
        <v>0</v>
      </c>
    </row>
    <row r="51" spans="1:15" ht="15.75">
      <c r="A51" s="267" t="s">
        <v>104</v>
      </c>
      <c r="B51" s="267"/>
      <c r="C51" s="277">
        <f>'Compte de résultat'!B63/12</f>
        <v>0</v>
      </c>
      <c r="D51" s="277">
        <f>'Compte de résultat'!B63/12</f>
        <v>0</v>
      </c>
      <c r="E51" s="277">
        <f>'Compte de résultat'!B63/12</f>
        <v>0</v>
      </c>
      <c r="F51" s="277">
        <f>'Compte de résultat'!B63/12</f>
        <v>0</v>
      </c>
      <c r="G51" s="277">
        <f>'Compte de résultat'!B63/12</f>
        <v>0</v>
      </c>
      <c r="H51" s="277">
        <f>'Compte de résultat'!B63/12</f>
        <v>0</v>
      </c>
      <c r="I51" s="277">
        <f>'Compte de résultat'!B63/12</f>
        <v>0</v>
      </c>
      <c r="J51" s="277">
        <f>'Compte de résultat'!B63/12</f>
        <v>0</v>
      </c>
      <c r="K51" s="277">
        <f>'Compte de résultat'!B63/12</f>
        <v>0</v>
      </c>
      <c r="L51" s="277">
        <f>'Compte de résultat'!B63/12</f>
        <v>0</v>
      </c>
      <c r="M51" s="277">
        <f>'Compte de résultat'!B63/12</f>
        <v>0</v>
      </c>
      <c r="N51" s="277">
        <f>'Compte de résultat'!B63/12</f>
        <v>0</v>
      </c>
      <c r="O51" s="268">
        <f t="shared" si="0"/>
        <v>0</v>
      </c>
    </row>
    <row r="52" spans="1:15" ht="15" customHeight="1">
      <c r="A52" s="270" t="str">
        <f>'Compte de résultat'!A67</f>
        <v>IMPÔTS ET TAXES</v>
      </c>
      <c r="B52" s="270"/>
      <c r="C52" s="262"/>
      <c r="D52" s="262"/>
      <c r="E52" s="262"/>
      <c r="F52" s="262"/>
      <c r="G52" s="262"/>
      <c r="H52" s="262"/>
      <c r="I52" s="262"/>
      <c r="J52" s="262"/>
      <c r="K52" s="262"/>
      <c r="L52" s="262"/>
      <c r="M52" s="262"/>
      <c r="N52" s="277">
        <f>'Compte de résultat'!B68</f>
        <v>0</v>
      </c>
      <c r="O52" s="268">
        <f t="shared" si="0"/>
        <v>0</v>
      </c>
    </row>
    <row r="53" spans="1:15" ht="15.75">
      <c r="A53" s="270" t="s">
        <v>109</v>
      </c>
      <c r="B53" s="270"/>
      <c r="C53" s="277">
        <f>'Compte de résultat'!B71/12</f>
        <v>5758.099466666667</v>
      </c>
      <c r="D53" s="277">
        <f>'Compte de résultat'!B71/12</f>
        <v>5758.099466666667</v>
      </c>
      <c r="E53" s="277">
        <f>'Compte de résultat'!B71/12</f>
        <v>5758.099466666667</v>
      </c>
      <c r="F53" s="277">
        <f>'Compte de résultat'!B71/12</f>
        <v>5758.099466666667</v>
      </c>
      <c r="G53" s="277">
        <f>'Compte de résultat'!B71/12</f>
        <v>5758.099466666667</v>
      </c>
      <c r="H53" s="277">
        <f>'Compte de résultat'!B71/12</f>
        <v>5758.099466666667</v>
      </c>
      <c r="I53" s="277">
        <f>'Compte de résultat'!B71/12</f>
        <v>5758.099466666667</v>
      </c>
      <c r="J53" s="277">
        <f>'Compte de résultat'!B71/12</f>
        <v>5758.099466666667</v>
      </c>
      <c r="K53" s="277">
        <f>'Compte de résultat'!B71/12</f>
        <v>5758.099466666667</v>
      </c>
      <c r="L53" s="277">
        <f>'Compte de résultat'!B71/12</f>
        <v>5758.099466666667</v>
      </c>
      <c r="M53" s="277">
        <f>'Compte de résultat'!B71/12</f>
        <v>5758.099466666667</v>
      </c>
      <c r="N53" s="277">
        <f>'Compte de résultat'!B71/12</f>
        <v>5758.099466666667</v>
      </c>
      <c r="O53" s="268">
        <f t="shared" si="0"/>
        <v>69097.1936</v>
      </c>
    </row>
    <row r="54" spans="1:15" ht="15.75">
      <c r="A54" s="270" t="s">
        <v>114</v>
      </c>
      <c r="B54" s="270"/>
      <c r="C54" s="277">
        <f>'Compte de résultat'!B78/12</f>
        <v>0</v>
      </c>
      <c r="D54" s="277">
        <f>'Compte de résultat'!B78/12</f>
        <v>0</v>
      </c>
      <c r="E54" s="277">
        <f>'Compte de résultat'!B78/12</f>
        <v>0</v>
      </c>
      <c r="F54" s="277">
        <f>'Compte de résultat'!B78/12</f>
        <v>0</v>
      </c>
      <c r="G54" s="277">
        <f>'Compte de résultat'!B78/12</f>
        <v>0</v>
      </c>
      <c r="H54" s="277">
        <f>'Compte de résultat'!B78/12</f>
        <v>0</v>
      </c>
      <c r="I54" s="277">
        <f>'Compte de résultat'!B78/12</f>
        <v>0</v>
      </c>
      <c r="J54" s="277">
        <f>'Compte de résultat'!B78/12</f>
        <v>0</v>
      </c>
      <c r="K54" s="277">
        <f>'Compte de résultat'!B78/12</f>
        <v>0</v>
      </c>
      <c r="L54" s="277">
        <f>'Compte de résultat'!B78/12</f>
        <v>0</v>
      </c>
      <c r="M54" s="277">
        <f>'Compte de résultat'!B78/12</f>
        <v>0</v>
      </c>
      <c r="N54" s="277">
        <f>'Compte de résultat'!B78/12</f>
        <v>0</v>
      </c>
      <c r="O54" s="268">
        <f t="shared" si="0"/>
        <v>0</v>
      </c>
    </row>
    <row r="55" spans="1:15" ht="15">
      <c r="A55" s="270" t="s">
        <v>236</v>
      </c>
      <c r="B55" s="270"/>
      <c r="C55" s="277">
        <f>'Compte de résultat'!B80/12</f>
        <v>0</v>
      </c>
      <c r="D55" s="277">
        <f>'Compte de résultat'!B80/12</f>
        <v>0</v>
      </c>
      <c r="E55" s="277">
        <f>'Compte de résultat'!B80/12</f>
        <v>0</v>
      </c>
      <c r="F55" s="277">
        <f>'Compte de résultat'!B80/12</f>
        <v>0</v>
      </c>
      <c r="G55" s="277">
        <f>'Compte de résultat'!B80/12</f>
        <v>0</v>
      </c>
      <c r="H55" s="277">
        <f>'Compte de résultat'!B80/12</f>
        <v>0</v>
      </c>
      <c r="I55" s="277">
        <f>'Compte de résultat'!B80/12</f>
        <v>0</v>
      </c>
      <c r="J55" s="277">
        <f>'Compte de résultat'!B80/12</f>
        <v>0</v>
      </c>
      <c r="K55" s="277">
        <f>'Compte de résultat'!B80/12</f>
        <v>0</v>
      </c>
      <c r="L55" s="277">
        <f>'Compte de résultat'!B80/12</f>
        <v>0</v>
      </c>
      <c r="M55" s="277">
        <f>'Compte de résultat'!B80/12</f>
        <v>0</v>
      </c>
      <c r="N55" s="277">
        <f>'Compte de résultat'!B80/12</f>
        <v>0</v>
      </c>
      <c r="O55" s="268">
        <f t="shared" si="0"/>
        <v>0</v>
      </c>
    </row>
    <row r="56" spans="1:15" ht="15">
      <c r="A56" s="267" t="s">
        <v>237</v>
      </c>
      <c r="B56" s="267"/>
      <c r="C56" s="277">
        <f>'Compte de résultat'!B81/12</f>
        <v>0</v>
      </c>
      <c r="D56" s="277">
        <f>'Compte de résultat'!B81/12</f>
        <v>0</v>
      </c>
      <c r="E56" s="277">
        <f>'Compte de résultat'!B81/12</f>
        <v>0</v>
      </c>
      <c r="F56" s="277">
        <f>'Compte de résultat'!B81/12</f>
        <v>0</v>
      </c>
      <c r="G56" s="277">
        <f>'Compte de résultat'!B81/12</f>
        <v>0</v>
      </c>
      <c r="H56" s="277">
        <f>'Compte de résultat'!B81/12</f>
        <v>0</v>
      </c>
      <c r="I56" s="277">
        <f>'Compte de résultat'!B81/12</f>
        <v>0</v>
      </c>
      <c r="J56" s="277">
        <f>'Compte de résultat'!B81/12</f>
        <v>0</v>
      </c>
      <c r="K56" s="277">
        <f>'Compte de résultat'!B81/12</f>
        <v>0</v>
      </c>
      <c r="L56" s="277">
        <f>'Compte de résultat'!B81/12</f>
        <v>0</v>
      </c>
      <c r="M56" s="277">
        <f>'Compte de résultat'!B81/12</f>
        <v>0</v>
      </c>
      <c r="N56" s="277">
        <f>'Compte de résultat'!B81/12</f>
        <v>0</v>
      </c>
      <c r="O56" s="268">
        <f t="shared" si="0"/>
        <v>0</v>
      </c>
    </row>
    <row r="57" spans="1:15" ht="15">
      <c r="A57" s="267" t="s">
        <v>104</v>
      </c>
      <c r="B57" s="267"/>
      <c r="C57" s="277">
        <f>'Compte de résultat'!B84/2</f>
        <v>602.379104</v>
      </c>
      <c r="D57" s="262"/>
      <c r="E57" s="262"/>
      <c r="F57" s="262"/>
      <c r="G57" s="262"/>
      <c r="H57" s="262"/>
      <c r="I57" s="262"/>
      <c r="J57" s="262"/>
      <c r="K57" s="262"/>
      <c r="L57" s="262"/>
      <c r="M57" s="262"/>
      <c r="N57" s="277">
        <f>'Compte de résultat'!B84/2</f>
        <v>602.379104</v>
      </c>
      <c r="O57" s="268">
        <f t="shared" si="0"/>
        <v>1204.758208</v>
      </c>
    </row>
    <row r="58" spans="1:15" ht="15">
      <c r="A58" s="270" t="s">
        <v>238</v>
      </c>
      <c r="B58" s="270"/>
      <c r="C58" s="277">
        <f>'Compte de résultat'!B96/12</f>
        <v>0</v>
      </c>
      <c r="D58" s="277">
        <f>'Compte de résultat'!B96/12</f>
        <v>0</v>
      </c>
      <c r="E58" s="277">
        <f>'Compte de résultat'!B96/12</f>
        <v>0</v>
      </c>
      <c r="F58" s="277">
        <f>'Compte de résultat'!B96/12</f>
        <v>0</v>
      </c>
      <c r="G58" s="277">
        <f>'Compte de résultat'!B96/12</f>
        <v>0</v>
      </c>
      <c r="H58" s="277">
        <f>'Compte de résultat'!B96/12</f>
        <v>0</v>
      </c>
      <c r="I58" s="277">
        <f>'Compte de résultat'!B96/12</f>
        <v>0</v>
      </c>
      <c r="J58" s="277">
        <f>'Compte de résultat'!B96/12</f>
        <v>0</v>
      </c>
      <c r="K58" s="277">
        <f>'Compte de résultat'!B96/12</f>
        <v>0</v>
      </c>
      <c r="L58" s="277">
        <f>'Compte de résultat'!B96/12</f>
        <v>0</v>
      </c>
      <c r="M58" s="277">
        <f>'Compte de résultat'!B96/12</f>
        <v>0</v>
      </c>
      <c r="N58" s="277">
        <f>'Compte de résultat'!B96/12</f>
        <v>0</v>
      </c>
      <c r="O58" s="268">
        <f t="shared" si="0"/>
        <v>0</v>
      </c>
    </row>
    <row r="59" spans="1:15" ht="15">
      <c r="A59" s="270" t="s">
        <v>239</v>
      </c>
      <c r="B59" s="270"/>
      <c r="C59" s="277">
        <f>Emprunt!F8</f>
        <v>0</v>
      </c>
      <c r="D59" s="277">
        <f>Emprunt!F8</f>
        <v>0</v>
      </c>
      <c r="E59" s="277">
        <f>Emprunt!F8</f>
        <v>0</v>
      </c>
      <c r="F59" s="277">
        <f>Emprunt!F8</f>
        <v>0</v>
      </c>
      <c r="G59" s="277">
        <f>Emprunt!F8</f>
        <v>0</v>
      </c>
      <c r="H59" s="277">
        <f>Emprunt!F8</f>
        <v>0</v>
      </c>
      <c r="I59" s="277">
        <f>Emprunt!F8</f>
        <v>0</v>
      </c>
      <c r="J59" s="277">
        <f>Emprunt!F8</f>
        <v>0</v>
      </c>
      <c r="K59" s="277">
        <f>Emprunt!F8</f>
        <v>0</v>
      </c>
      <c r="L59" s="277">
        <f>Emprunt!F8</f>
        <v>0</v>
      </c>
      <c r="M59" s="277">
        <f>Emprunt!F8</f>
        <v>0</v>
      </c>
      <c r="N59" s="277">
        <f>Emprunt!F8</f>
        <v>0</v>
      </c>
      <c r="O59" s="268">
        <f t="shared" si="0"/>
        <v>0</v>
      </c>
    </row>
    <row r="60" spans="1:16" ht="15" customHeight="1">
      <c r="A60" s="295" t="s">
        <v>240</v>
      </c>
      <c r="B60" s="295"/>
      <c r="C60" s="296">
        <f aca="true" t="shared" si="3" ref="C60:N60">SUM(C28:C59)</f>
        <v>6360.478570666666</v>
      </c>
      <c r="D60" s="296">
        <f t="shared" si="3"/>
        <v>5758.099466666667</v>
      </c>
      <c r="E60" s="296">
        <f t="shared" si="3"/>
        <v>5758.099466666667</v>
      </c>
      <c r="F60" s="296">
        <f t="shared" si="3"/>
        <v>5758.099466666667</v>
      </c>
      <c r="G60" s="296">
        <f t="shared" si="3"/>
        <v>5758.099466666667</v>
      </c>
      <c r="H60" s="296">
        <f t="shared" si="3"/>
        <v>5758.099466666667</v>
      </c>
      <c r="I60" s="296">
        <f t="shared" si="3"/>
        <v>5758.099466666667</v>
      </c>
      <c r="J60" s="296">
        <f t="shared" si="3"/>
        <v>5758.099466666667</v>
      </c>
      <c r="K60" s="296">
        <f t="shared" si="3"/>
        <v>5758.099466666667</v>
      </c>
      <c r="L60" s="296">
        <f t="shared" si="3"/>
        <v>5758.099466666667</v>
      </c>
      <c r="M60" s="296">
        <f t="shared" si="3"/>
        <v>5758.099466666667</v>
      </c>
      <c r="N60" s="296">
        <f t="shared" si="3"/>
        <v>6360.478570666666</v>
      </c>
      <c r="O60" s="297">
        <f>SUM(C60:N60)</f>
        <v>70301.951808</v>
      </c>
      <c r="P60" s="298"/>
    </row>
    <row r="61" spans="1:15" ht="15" customHeight="1">
      <c r="A61" s="295" t="s">
        <v>166</v>
      </c>
      <c r="B61" s="295"/>
      <c r="C61" s="296">
        <f>C25-C60</f>
        <v>-6360.478570666666</v>
      </c>
      <c r="D61" s="296">
        <f aca="true" t="shared" si="4" ref="D61:N61">D25-D60</f>
        <v>-5758.099466666667</v>
      </c>
      <c r="E61" s="296">
        <f t="shared" si="4"/>
        <v>-5758.099466666667</v>
      </c>
      <c r="F61" s="296">
        <f t="shared" si="4"/>
        <v>-155.89196666666612</v>
      </c>
      <c r="G61" s="296">
        <f t="shared" si="4"/>
        <v>-5758.099466666667</v>
      </c>
      <c r="H61" s="296">
        <f t="shared" si="4"/>
        <v>-5758.099466666667</v>
      </c>
      <c r="I61" s="296">
        <f t="shared" si="4"/>
        <v>-155.89196666666612</v>
      </c>
      <c r="J61" s="296">
        <f t="shared" si="4"/>
        <v>-5758.099466666667</v>
      </c>
      <c r="K61" s="296">
        <f t="shared" si="4"/>
        <v>-5758.099466666667</v>
      </c>
      <c r="L61" s="296">
        <f t="shared" si="4"/>
        <v>-155.89196666666612</v>
      </c>
      <c r="M61" s="296">
        <f t="shared" si="4"/>
        <v>-5758.099466666667</v>
      </c>
      <c r="N61" s="296">
        <f t="shared" si="4"/>
        <v>-6360.478570666666</v>
      </c>
      <c r="O61" s="299"/>
    </row>
    <row r="62" spans="1:15" ht="23.25" customHeight="1">
      <c r="A62" s="295" t="s">
        <v>241</v>
      </c>
      <c r="B62" s="295"/>
      <c r="C62" s="296">
        <f>C61</f>
        <v>-6360.478570666666</v>
      </c>
      <c r="D62" s="296">
        <f>C62+D61</f>
        <v>-12118.578037333333</v>
      </c>
      <c r="E62" s="296">
        <f aca="true" t="shared" si="5" ref="E62:N62">D62+E61</f>
        <v>-17876.677504</v>
      </c>
      <c r="F62" s="296">
        <f t="shared" si="5"/>
        <v>-18032.569470666665</v>
      </c>
      <c r="G62" s="296">
        <f t="shared" si="5"/>
        <v>-23790.668937333332</v>
      </c>
      <c r="H62" s="296">
        <f t="shared" si="5"/>
        <v>-29548.768404</v>
      </c>
      <c r="I62" s="296">
        <f t="shared" si="5"/>
        <v>-29704.660370666665</v>
      </c>
      <c r="J62" s="296">
        <f t="shared" si="5"/>
        <v>-35462.75983733333</v>
      </c>
      <c r="K62" s="296">
        <f t="shared" si="5"/>
        <v>-41220.859304</v>
      </c>
      <c r="L62" s="296">
        <f t="shared" si="5"/>
        <v>-41376.75127066666</v>
      </c>
      <c r="M62" s="296">
        <f t="shared" si="5"/>
        <v>-47134.85073733333</v>
      </c>
      <c r="N62" s="296">
        <f t="shared" si="5"/>
        <v>-53495.32930799999</v>
      </c>
      <c r="O62" s="300"/>
    </row>
    <row r="63" spans="1:14" ht="23.25" customHeight="1">
      <c r="A63" s="286"/>
      <c r="B63" s="286"/>
      <c r="C63" s="294"/>
      <c r="D63" s="294"/>
      <c r="E63" s="294"/>
      <c r="F63" s="294"/>
      <c r="G63" s="294"/>
      <c r="H63" s="294"/>
      <c r="I63" s="294"/>
      <c r="J63" s="294"/>
      <c r="K63" s="294"/>
      <c r="L63" s="294"/>
      <c r="M63" s="294"/>
      <c r="N63" s="294"/>
    </row>
    <row r="65" ht="15">
      <c r="O65" s="301"/>
    </row>
    <row r="66" spans="3:15" ht="15">
      <c r="C66" s="302"/>
      <c r="D66" s="302"/>
      <c r="E66" s="301"/>
      <c r="F66" s="302"/>
      <c r="G66" s="303"/>
      <c r="H66" s="301"/>
      <c r="I66" s="301"/>
      <c r="J66" s="302"/>
      <c r="K66" s="303"/>
      <c r="L66" s="303"/>
      <c r="M66" s="303"/>
      <c r="N66" s="302"/>
      <c r="O66" s="302"/>
    </row>
    <row r="76" ht="15">
      <c r="B76" s="304"/>
    </row>
  </sheetData>
  <sheetProtection sheet="1" objects="1" scenarios="1"/>
  <mergeCells count="59">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s>
  <printOptions/>
  <pageMargins left="0.5902777777777778" right="0.19652777777777777" top="0.5118055555555555" bottom="0" header="0.5118055555555555" footer="0.5118055555555555"/>
  <pageSetup horizontalDpi="300" verticalDpi="300" orientation="landscape" paperSize="9" scale="50"/>
  <headerFooter alignWithMargins="0">
    <oddHeader>&amp;CPrévisionnel</oddHeader>
  </headerFooter>
  <colBreaks count="1" manualBreakCount="1">
    <brk id="122" max="65535" man="1"/>
  </colBreaks>
  <legacyDrawing r:id="rId2"/>
</worksheet>
</file>

<file path=xl/worksheets/sheet7.xml><?xml version="1.0" encoding="utf-8"?>
<worksheet xmlns="http://schemas.openxmlformats.org/spreadsheetml/2006/main" xmlns:r="http://schemas.openxmlformats.org/officeDocument/2006/relationships">
  <dimension ref="B4:H193"/>
  <sheetViews>
    <sheetView showGridLines="0" workbookViewId="0" topLeftCell="A1">
      <selection activeCell="C193" sqref="C193"/>
    </sheetView>
  </sheetViews>
  <sheetFormatPr defaultColWidth="11.421875" defaultRowHeight="12.75"/>
  <cols>
    <col min="1" max="1" width="10.421875" style="305" customWidth="1"/>
    <col min="2" max="2" width="11.421875" style="305" customWidth="1"/>
    <col min="3" max="3" width="18.140625" style="305" customWidth="1"/>
    <col min="4" max="4" width="19.28125" style="305" customWidth="1"/>
    <col min="5" max="5" width="17.7109375" style="305" customWidth="1"/>
    <col min="6" max="6" width="16.421875" style="305" customWidth="1"/>
    <col min="7" max="16384" width="11.421875" style="305" customWidth="1"/>
  </cols>
  <sheetData>
    <row r="4" ht="15">
      <c r="D4" s="306" t="s">
        <v>242</v>
      </c>
    </row>
    <row r="7" spans="2:7" ht="12.75">
      <c r="B7" s="307" t="s">
        <v>243</v>
      </c>
      <c r="C7" s="308" t="s">
        <v>244</v>
      </c>
      <c r="D7" s="309" t="s">
        <v>245</v>
      </c>
      <c r="E7" s="309" t="s">
        <v>246</v>
      </c>
      <c r="F7" s="309" t="s">
        <v>247</v>
      </c>
      <c r="G7" s="310"/>
    </row>
    <row r="8" spans="2:7" ht="12.75">
      <c r="B8" s="311">
        <f>'Plan de financement'!B44</f>
        <v>0</v>
      </c>
      <c r="C8" s="312"/>
      <c r="D8" s="313">
        <v>60</v>
      </c>
      <c r="E8" s="314">
        <v>0.05</v>
      </c>
      <c r="F8" s="315">
        <f>CAPITAL*(TAUX/12)/(1-(1+(TAUX/12))^-DUREE)</f>
        <v>0</v>
      </c>
      <c r="G8" s="310"/>
    </row>
    <row r="9" spans="3:7" ht="12.75">
      <c r="C9" s="310"/>
      <c r="D9" s="310"/>
      <c r="E9" s="310"/>
      <c r="F9" s="310"/>
      <c r="G9" s="310"/>
    </row>
    <row r="10" spans="2:7" ht="12.75">
      <c r="B10" s="316" t="s">
        <v>248</v>
      </c>
      <c r="C10" s="317" t="s">
        <v>249</v>
      </c>
      <c r="D10" s="317" t="s">
        <v>247</v>
      </c>
      <c r="E10" s="317" t="s">
        <v>250</v>
      </c>
      <c r="F10" s="317" t="s">
        <v>243</v>
      </c>
      <c r="G10" s="318"/>
    </row>
    <row r="11" spans="2:7" ht="12.75">
      <c r="B11" s="319">
        <v>1</v>
      </c>
      <c r="C11" s="320">
        <f>B8</f>
        <v>0</v>
      </c>
      <c r="D11" s="321">
        <f aca="true" t="shared" si="0" ref="D11:D26">IF(B11&lt;=DUREE,MENSUAL,0)</f>
        <v>0</v>
      </c>
      <c r="E11" s="320">
        <f aca="true" t="shared" si="1" ref="E11:E26">C11*TAUX/12</f>
        <v>0</v>
      </c>
      <c r="F11" s="322">
        <f aca="true" t="shared" si="2" ref="F11:F26">D11-E11</f>
        <v>0</v>
      </c>
      <c r="G11" s="318"/>
    </row>
    <row r="12" spans="2:7" ht="12.75">
      <c r="B12" s="319">
        <v>2</v>
      </c>
      <c r="C12" s="323">
        <f aca="true" t="shared" si="3" ref="C12:C27">C11-F11</f>
        <v>0</v>
      </c>
      <c r="D12" s="321">
        <f t="shared" si="0"/>
        <v>0</v>
      </c>
      <c r="E12" s="323">
        <f t="shared" si="1"/>
        <v>0</v>
      </c>
      <c r="F12" s="322">
        <f t="shared" si="2"/>
        <v>0</v>
      </c>
      <c r="G12" s="318"/>
    </row>
    <row r="13" spans="2:7" ht="12.75">
      <c r="B13" s="319">
        <v>3</v>
      </c>
      <c r="C13" s="323">
        <f t="shared" si="3"/>
        <v>0</v>
      </c>
      <c r="D13" s="321">
        <f t="shared" si="0"/>
        <v>0</v>
      </c>
      <c r="E13" s="323">
        <f t="shared" si="1"/>
        <v>0</v>
      </c>
      <c r="F13" s="322">
        <f t="shared" si="2"/>
        <v>0</v>
      </c>
      <c r="G13" s="318"/>
    </row>
    <row r="14" spans="2:7" ht="12.75">
      <c r="B14" s="319">
        <v>4</v>
      </c>
      <c r="C14" s="323">
        <f t="shared" si="3"/>
        <v>0</v>
      </c>
      <c r="D14" s="321">
        <f t="shared" si="0"/>
        <v>0</v>
      </c>
      <c r="E14" s="323">
        <f t="shared" si="1"/>
        <v>0</v>
      </c>
      <c r="F14" s="322">
        <f t="shared" si="2"/>
        <v>0</v>
      </c>
      <c r="G14" s="318"/>
    </row>
    <row r="15" spans="2:7" ht="12.75">
      <c r="B15" s="319">
        <v>5</v>
      </c>
      <c r="C15" s="323">
        <f>C14-F14</f>
        <v>0</v>
      </c>
      <c r="D15" s="321">
        <f t="shared" si="0"/>
        <v>0</v>
      </c>
      <c r="E15" s="323">
        <f t="shared" si="1"/>
        <v>0</v>
      </c>
      <c r="F15" s="322">
        <f t="shared" si="2"/>
        <v>0</v>
      </c>
      <c r="G15" s="318"/>
    </row>
    <row r="16" spans="2:7" ht="12.75">
      <c r="B16" s="319">
        <v>6</v>
      </c>
      <c r="C16" s="323">
        <f t="shared" si="3"/>
        <v>0</v>
      </c>
      <c r="D16" s="321">
        <f t="shared" si="0"/>
        <v>0</v>
      </c>
      <c r="E16" s="323">
        <f t="shared" si="1"/>
        <v>0</v>
      </c>
      <c r="F16" s="322">
        <f t="shared" si="2"/>
        <v>0</v>
      </c>
      <c r="G16" s="318"/>
    </row>
    <row r="17" spans="2:7" ht="12.75">
      <c r="B17" s="319">
        <v>7</v>
      </c>
      <c r="C17" s="323">
        <f t="shared" si="3"/>
        <v>0</v>
      </c>
      <c r="D17" s="321">
        <f t="shared" si="0"/>
        <v>0</v>
      </c>
      <c r="E17" s="323">
        <f t="shared" si="1"/>
        <v>0</v>
      </c>
      <c r="F17" s="322">
        <f t="shared" si="2"/>
        <v>0</v>
      </c>
      <c r="G17" s="318"/>
    </row>
    <row r="18" spans="2:7" ht="12.75">
      <c r="B18" s="319">
        <v>8</v>
      </c>
      <c r="C18" s="323">
        <f t="shared" si="3"/>
        <v>0</v>
      </c>
      <c r="D18" s="321">
        <f t="shared" si="0"/>
        <v>0</v>
      </c>
      <c r="E18" s="323">
        <f t="shared" si="1"/>
        <v>0</v>
      </c>
      <c r="F18" s="322">
        <f t="shared" si="2"/>
        <v>0</v>
      </c>
      <c r="G18" s="318"/>
    </row>
    <row r="19" spans="2:7" ht="12.75">
      <c r="B19" s="319">
        <v>9</v>
      </c>
      <c r="C19" s="323">
        <f t="shared" si="3"/>
        <v>0</v>
      </c>
      <c r="D19" s="321">
        <f t="shared" si="0"/>
        <v>0</v>
      </c>
      <c r="E19" s="323">
        <f t="shared" si="1"/>
        <v>0</v>
      </c>
      <c r="F19" s="322">
        <f t="shared" si="2"/>
        <v>0</v>
      </c>
      <c r="G19" s="318"/>
    </row>
    <row r="20" spans="2:7" ht="12.75">
      <c r="B20" s="319">
        <v>10</v>
      </c>
      <c r="C20" s="323">
        <f t="shared" si="3"/>
        <v>0</v>
      </c>
      <c r="D20" s="321">
        <f t="shared" si="0"/>
        <v>0</v>
      </c>
      <c r="E20" s="323">
        <f t="shared" si="1"/>
        <v>0</v>
      </c>
      <c r="F20" s="322">
        <f t="shared" si="2"/>
        <v>0</v>
      </c>
      <c r="G20" s="318"/>
    </row>
    <row r="21" spans="2:6" ht="12.75">
      <c r="B21" s="319">
        <v>11</v>
      </c>
      <c r="C21" s="323">
        <f t="shared" si="3"/>
        <v>0</v>
      </c>
      <c r="D21" s="321">
        <f t="shared" si="0"/>
        <v>0</v>
      </c>
      <c r="E21" s="323">
        <f t="shared" si="1"/>
        <v>0</v>
      </c>
      <c r="F21" s="322">
        <f t="shared" si="2"/>
        <v>0</v>
      </c>
    </row>
    <row r="22" spans="2:8" ht="12.75">
      <c r="B22" s="324">
        <v>12</v>
      </c>
      <c r="C22" s="325">
        <f t="shared" si="3"/>
        <v>0</v>
      </c>
      <c r="D22" s="326">
        <f t="shared" si="0"/>
        <v>0</v>
      </c>
      <c r="E22" s="325">
        <f t="shared" si="1"/>
        <v>0</v>
      </c>
      <c r="F22" s="327">
        <f t="shared" si="2"/>
        <v>0</v>
      </c>
      <c r="H22" s="310"/>
    </row>
    <row r="23" spans="2:7" ht="12.75">
      <c r="B23" s="328">
        <v>13</v>
      </c>
      <c r="C23" s="320">
        <f t="shared" si="3"/>
        <v>0</v>
      </c>
      <c r="D23" s="329">
        <f t="shared" si="0"/>
        <v>0</v>
      </c>
      <c r="E23" s="320">
        <f t="shared" si="1"/>
        <v>0</v>
      </c>
      <c r="F23" s="330">
        <f t="shared" si="2"/>
        <v>0</v>
      </c>
      <c r="G23" s="318"/>
    </row>
    <row r="24" spans="2:7" ht="12.75">
      <c r="B24" s="319">
        <v>14</v>
      </c>
      <c r="C24" s="323">
        <f t="shared" si="3"/>
        <v>0</v>
      </c>
      <c r="D24" s="321">
        <f t="shared" si="0"/>
        <v>0</v>
      </c>
      <c r="E24" s="323">
        <f t="shared" si="1"/>
        <v>0</v>
      </c>
      <c r="F24" s="322">
        <f t="shared" si="2"/>
        <v>0</v>
      </c>
      <c r="G24" s="318"/>
    </row>
    <row r="25" spans="2:7" ht="12.75">
      <c r="B25" s="319">
        <v>15</v>
      </c>
      <c r="C25" s="323">
        <f t="shared" si="3"/>
        <v>0</v>
      </c>
      <c r="D25" s="321">
        <f t="shared" si="0"/>
        <v>0</v>
      </c>
      <c r="E25" s="323">
        <f t="shared" si="1"/>
        <v>0</v>
      </c>
      <c r="F25" s="322">
        <f t="shared" si="2"/>
        <v>0</v>
      </c>
      <c r="G25" s="318"/>
    </row>
    <row r="26" spans="2:7" ht="12.75">
      <c r="B26" s="319">
        <v>16</v>
      </c>
      <c r="C26" s="323">
        <f t="shared" si="3"/>
        <v>0</v>
      </c>
      <c r="D26" s="321">
        <f t="shared" si="0"/>
        <v>0</v>
      </c>
      <c r="E26" s="323">
        <f t="shared" si="1"/>
        <v>0</v>
      </c>
      <c r="F26" s="322">
        <f t="shared" si="2"/>
        <v>0</v>
      </c>
      <c r="G26" s="318"/>
    </row>
    <row r="27" spans="2:7" ht="12.75">
      <c r="B27" s="319">
        <v>17</v>
      </c>
      <c r="C27" s="323">
        <f t="shared" si="3"/>
        <v>0</v>
      </c>
      <c r="D27" s="321">
        <f aca="true" t="shared" si="4" ref="D27:D42">IF(B27&lt;=DUREE,MENSUAL,0)</f>
        <v>0</v>
      </c>
      <c r="E27" s="323">
        <f aca="true" t="shared" si="5" ref="E27:E42">C27*TAUX/12</f>
        <v>0</v>
      </c>
      <c r="F27" s="322">
        <f aca="true" t="shared" si="6" ref="F27:F42">D27-E27</f>
        <v>0</v>
      </c>
      <c r="G27" s="318"/>
    </row>
    <row r="28" spans="2:7" ht="12.75">
      <c r="B28" s="319">
        <v>18</v>
      </c>
      <c r="C28" s="323">
        <f aca="true" t="shared" si="7" ref="C28:C43">C27-F27</f>
        <v>0</v>
      </c>
      <c r="D28" s="321">
        <f t="shared" si="4"/>
        <v>0</v>
      </c>
      <c r="E28" s="323">
        <f t="shared" si="5"/>
        <v>0</v>
      </c>
      <c r="F28" s="322">
        <f t="shared" si="6"/>
        <v>0</v>
      </c>
      <c r="G28" s="318"/>
    </row>
    <row r="29" spans="2:7" ht="12.75">
      <c r="B29" s="319">
        <v>19</v>
      </c>
      <c r="C29" s="323">
        <f t="shared" si="7"/>
        <v>0</v>
      </c>
      <c r="D29" s="321">
        <f t="shared" si="4"/>
        <v>0</v>
      </c>
      <c r="E29" s="323">
        <f t="shared" si="5"/>
        <v>0</v>
      </c>
      <c r="F29" s="322">
        <f t="shared" si="6"/>
        <v>0</v>
      </c>
      <c r="G29" s="318"/>
    </row>
    <row r="30" spans="2:7" ht="12.75">
      <c r="B30" s="319">
        <v>20</v>
      </c>
      <c r="C30" s="323">
        <f t="shared" si="7"/>
        <v>0</v>
      </c>
      <c r="D30" s="321">
        <f t="shared" si="4"/>
        <v>0</v>
      </c>
      <c r="E30" s="323">
        <f t="shared" si="5"/>
        <v>0</v>
      </c>
      <c r="F30" s="322">
        <f t="shared" si="6"/>
        <v>0</v>
      </c>
      <c r="G30" s="318"/>
    </row>
    <row r="31" spans="2:7" ht="12.75">
      <c r="B31" s="319">
        <v>21</v>
      </c>
      <c r="C31" s="323">
        <f t="shared" si="7"/>
        <v>0</v>
      </c>
      <c r="D31" s="321">
        <f t="shared" si="4"/>
        <v>0</v>
      </c>
      <c r="E31" s="323">
        <f t="shared" si="5"/>
        <v>0</v>
      </c>
      <c r="F31" s="322">
        <f t="shared" si="6"/>
        <v>0</v>
      </c>
      <c r="G31" s="318"/>
    </row>
    <row r="32" spans="2:7" ht="12.75">
      <c r="B32" s="319">
        <v>22</v>
      </c>
      <c r="C32" s="323">
        <f t="shared" si="7"/>
        <v>0</v>
      </c>
      <c r="D32" s="321">
        <f t="shared" si="4"/>
        <v>0</v>
      </c>
      <c r="E32" s="323">
        <f t="shared" si="5"/>
        <v>0</v>
      </c>
      <c r="F32" s="322">
        <f t="shared" si="6"/>
        <v>0</v>
      </c>
      <c r="G32" s="318"/>
    </row>
    <row r="33" spans="2:6" ht="12.75">
      <c r="B33" s="319">
        <v>23</v>
      </c>
      <c r="C33" s="323">
        <f t="shared" si="7"/>
        <v>0</v>
      </c>
      <c r="D33" s="321">
        <f t="shared" si="4"/>
        <v>0</v>
      </c>
      <c r="E33" s="323">
        <f t="shared" si="5"/>
        <v>0</v>
      </c>
      <c r="F33" s="322">
        <f t="shared" si="6"/>
        <v>0</v>
      </c>
    </row>
    <row r="34" spans="2:6" ht="12.75">
      <c r="B34" s="324">
        <v>24</v>
      </c>
      <c r="C34" s="325">
        <f t="shared" si="7"/>
        <v>0</v>
      </c>
      <c r="D34" s="326">
        <f t="shared" si="4"/>
        <v>0</v>
      </c>
      <c r="E34" s="325">
        <f t="shared" si="5"/>
        <v>0</v>
      </c>
      <c r="F34" s="327">
        <f t="shared" si="6"/>
        <v>0</v>
      </c>
    </row>
    <row r="35" spans="2:7" ht="12.75">
      <c r="B35" s="328">
        <v>25</v>
      </c>
      <c r="C35" s="320">
        <f t="shared" si="7"/>
        <v>0</v>
      </c>
      <c r="D35" s="329">
        <f t="shared" si="4"/>
        <v>0</v>
      </c>
      <c r="E35" s="320">
        <f t="shared" si="5"/>
        <v>0</v>
      </c>
      <c r="F35" s="330">
        <f t="shared" si="6"/>
        <v>0</v>
      </c>
      <c r="G35" s="318"/>
    </row>
    <row r="36" spans="2:7" ht="12.75">
      <c r="B36" s="319">
        <v>26</v>
      </c>
      <c r="C36" s="323">
        <f t="shared" si="7"/>
        <v>0</v>
      </c>
      <c r="D36" s="321">
        <f t="shared" si="4"/>
        <v>0</v>
      </c>
      <c r="E36" s="323">
        <f t="shared" si="5"/>
        <v>0</v>
      </c>
      <c r="F36" s="322">
        <f t="shared" si="6"/>
        <v>0</v>
      </c>
      <c r="G36" s="318"/>
    </row>
    <row r="37" spans="2:7" ht="12.75">
      <c r="B37" s="319">
        <v>27</v>
      </c>
      <c r="C37" s="323">
        <f t="shared" si="7"/>
        <v>0</v>
      </c>
      <c r="D37" s="321">
        <f t="shared" si="4"/>
        <v>0</v>
      </c>
      <c r="E37" s="323">
        <f t="shared" si="5"/>
        <v>0</v>
      </c>
      <c r="F37" s="322">
        <f t="shared" si="6"/>
        <v>0</v>
      </c>
      <c r="G37" s="318"/>
    </row>
    <row r="38" spans="2:7" ht="12.75">
      <c r="B38" s="319">
        <v>28</v>
      </c>
      <c r="C38" s="323">
        <f t="shared" si="7"/>
        <v>0</v>
      </c>
      <c r="D38" s="321">
        <f t="shared" si="4"/>
        <v>0</v>
      </c>
      <c r="E38" s="323">
        <f t="shared" si="5"/>
        <v>0</v>
      </c>
      <c r="F38" s="322">
        <f t="shared" si="6"/>
        <v>0</v>
      </c>
      <c r="G38" s="318"/>
    </row>
    <row r="39" spans="2:7" ht="12.75">
      <c r="B39" s="319">
        <v>29</v>
      </c>
      <c r="C39" s="323">
        <f t="shared" si="7"/>
        <v>0</v>
      </c>
      <c r="D39" s="321">
        <f t="shared" si="4"/>
        <v>0</v>
      </c>
      <c r="E39" s="323">
        <f t="shared" si="5"/>
        <v>0</v>
      </c>
      <c r="F39" s="322">
        <f t="shared" si="6"/>
        <v>0</v>
      </c>
      <c r="G39" s="318"/>
    </row>
    <row r="40" spans="2:7" ht="12.75">
      <c r="B40" s="319">
        <v>30</v>
      </c>
      <c r="C40" s="323">
        <f t="shared" si="7"/>
        <v>0</v>
      </c>
      <c r="D40" s="321">
        <f t="shared" si="4"/>
        <v>0</v>
      </c>
      <c r="E40" s="323">
        <f t="shared" si="5"/>
        <v>0</v>
      </c>
      <c r="F40" s="322">
        <f t="shared" si="6"/>
        <v>0</v>
      </c>
      <c r="G40" s="318"/>
    </row>
    <row r="41" spans="2:7" ht="12.75">
      <c r="B41" s="319">
        <v>31</v>
      </c>
      <c r="C41" s="323">
        <f t="shared" si="7"/>
        <v>0</v>
      </c>
      <c r="D41" s="321">
        <f t="shared" si="4"/>
        <v>0</v>
      </c>
      <c r="E41" s="323">
        <f t="shared" si="5"/>
        <v>0</v>
      </c>
      <c r="F41" s="322">
        <f t="shared" si="6"/>
        <v>0</v>
      </c>
      <c r="G41" s="318"/>
    </row>
    <row r="42" spans="2:7" ht="12.75">
      <c r="B42" s="319">
        <v>32</v>
      </c>
      <c r="C42" s="323">
        <f t="shared" si="7"/>
        <v>0</v>
      </c>
      <c r="D42" s="321">
        <f t="shared" si="4"/>
        <v>0</v>
      </c>
      <c r="E42" s="323">
        <f t="shared" si="5"/>
        <v>0</v>
      </c>
      <c r="F42" s="322">
        <f t="shared" si="6"/>
        <v>0</v>
      </c>
      <c r="G42" s="318"/>
    </row>
    <row r="43" spans="2:7" ht="12.75">
      <c r="B43" s="319">
        <v>33</v>
      </c>
      <c r="C43" s="323">
        <f t="shared" si="7"/>
        <v>0</v>
      </c>
      <c r="D43" s="321">
        <f>IF(B43&lt;=DUREE,MENSUAL,0)</f>
        <v>0</v>
      </c>
      <c r="E43" s="323">
        <f>C43*TAUX/12</f>
        <v>0</v>
      </c>
      <c r="F43" s="322">
        <f>D43-E43</f>
        <v>0</v>
      </c>
      <c r="G43" s="318"/>
    </row>
    <row r="44" spans="2:7" ht="12.75">
      <c r="B44" s="319">
        <v>34</v>
      </c>
      <c r="C44" s="323">
        <f>C43-F43</f>
        <v>0</v>
      </c>
      <c r="D44" s="321">
        <f>IF(B44&lt;=DUREE,MENSUAL,0)</f>
        <v>0</v>
      </c>
      <c r="E44" s="323">
        <f>C44*TAUX/12</f>
        <v>0</v>
      </c>
      <c r="F44" s="322">
        <f>D44-E44</f>
        <v>0</v>
      </c>
      <c r="G44" s="318"/>
    </row>
    <row r="45" spans="2:6" ht="12.75">
      <c r="B45" s="319">
        <v>35</v>
      </c>
      <c r="C45" s="323">
        <f>C44-F44</f>
        <v>0</v>
      </c>
      <c r="D45" s="321">
        <f>IF(B45&lt;=DUREE,MENSUAL,0)</f>
        <v>0</v>
      </c>
      <c r="E45" s="323">
        <f>C45*TAUX/12</f>
        <v>0</v>
      </c>
      <c r="F45" s="322">
        <f>D45-E45</f>
        <v>0</v>
      </c>
    </row>
    <row r="46" spans="2:6" ht="12.75">
      <c r="B46" s="324">
        <v>36</v>
      </c>
      <c r="C46" s="325">
        <f>C45-F45</f>
        <v>0</v>
      </c>
      <c r="D46" s="326">
        <f>IF(B46&lt;=DUREE,MENSUAL,0)</f>
        <v>0</v>
      </c>
      <c r="E46" s="325">
        <f>C46*TAUX/12</f>
        <v>0</v>
      </c>
      <c r="F46" s="327">
        <f>D46-E46</f>
        <v>0</v>
      </c>
    </row>
    <row r="47" spans="2:6" ht="12.75">
      <c r="B47" s="331"/>
      <c r="C47" s="321"/>
      <c r="D47" s="321"/>
      <c r="E47" s="321"/>
      <c r="F47" s="321"/>
    </row>
    <row r="49" spans="3:5" ht="12.75">
      <c r="C49" s="309" t="s">
        <v>251</v>
      </c>
      <c r="D49" s="309" t="s">
        <v>252</v>
      </c>
      <c r="E49" s="309" t="s">
        <v>253</v>
      </c>
    </row>
    <row r="50" spans="2:5" ht="12.75">
      <c r="B50" s="332" t="s">
        <v>254</v>
      </c>
      <c r="C50" s="333">
        <f>SUM(E11:E22)</f>
        <v>0</v>
      </c>
      <c r="D50" s="334">
        <f>SUM(E23:E34)</f>
        <v>0</v>
      </c>
      <c r="E50" s="334">
        <f>SUM(E35:E46)</f>
        <v>0</v>
      </c>
    </row>
    <row r="51" spans="2:5" ht="12.75">
      <c r="B51" s="332" t="s">
        <v>255</v>
      </c>
      <c r="C51" s="335">
        <f>SUM(F11:F22)</f>
        <v>0</v>
      </c>
      <c r="D51" s="336">
        <f>SUM(F23:F34)</f>
        <v>0</v>
      </c>
      <c r="E51" s="336">
        <f>SUM(F35:F46)</f>
        <v>0</v>
      </c>
    </row>
    <row r="72" ht="15">
      <c r="D72" s="306" t="s">
        <v>256</v>
      </c>
    </row>
    <row r="75" spans="2:6" ht="12.75">
      <c r="B75" s="307" t="s">
        <v>243</v>
      </c>
      <c r="C75" s="308" t="s">
        <v>244</v>
      </c>
      <c r="D75" s="309" t="s">
        <v>245</v>
      </c>
      <c r="E75" s="309" t="s">
        <v>246</v>
      </c>
      <c r="F75" s="309" t="s">
        <v>247</v>
      </c>
    </row>
    <row r="76" spans="2:6" ht="12.75">
      <c r="B76" s="311">
        <f>'Plan de financement'!F44</f>
        <v>0</v>
      </c>
      <c r="C76" s="312"/>
      <c r="D76" s="313">
        <v>12</v>
      </c>
      <c r="E76" s="314">
        <v>0.04</v>
      </c>
      <c r="F76" s="315">
        <f>B76*(TAUX1/12)/(1-(1+(TAUX1/12))^-DUREE1)</f>
        <v>0</v>
      </c>
    </row>
    <row r="78" spans="2:6" ht="12.75">
      <c r="B78" s="316" t="s">
        <v>248</v>
      </c>
      <c r="C78" s="317" t="s">
        <v>249</v>
      </c>
      <c r="D78" s="317" t="s">
        <v>247</v>
      </c>
      <c r="E78" s="317" t="s">
        <v>250</v>
      </c>
      <c r="F78" s="317" t="s">
        <v>243</v>
      </c>
    </row>
    <row r="79" spans="2:6" ht="12.75">
      <c r="B79" s="319">
        <v>1</v>
      </c>
      <c r="C79" s="320">
        <f>B76</f>
        <v>0</v>
      </c>
      <c r="D79" s="321">
        <f>IF(B79&gt;=DUREE1,0,MENSUAL1)</f>
        <v>0</v>
      </c>
      <c r="E79" s="320">
        <f aca="true" t="shared" si="8" ref="E79:E114">C79*TAUX1/12</f>
        <v>0</v>
      </c>
      <c r="F79" s="322">
        <f aca="true" t="shared" si="9" ref="F79:F110">D79-E79</f>
        <v>0</v>
      </c>
    </row>
    <row r="80" spans="2:6" ht="12.75">
      <c r="B80" s="319">
        <v>2</v>
      </c>
      <c r="C80" s="323">
        <f aca="true" t="shared" si="10" ref="C80:C111">C79-F79</f>
        <v>0</v>
      </c>
      <c r="D80" s="321">
        <f>IF(B80&gt;=DUREE1,0,MENSUAL1)</f>
        <v>0</v>
      </c>
      <c r="E80" s="323">
        <f t="shared" si="8"/>
        <v>0</v>
      </c>
      <c r="F80" s="322">
        <f t="shared" si="9"/>
        <v>0</v>
      </c>
    </row>
    <row r="81" spans="2:6" ht="12.75">
      <c r="B81" s="319">
        <v>3</v>
      </c>
      <c r="C81" s="323">
        <f t="shared" si="10"/>
        <v>0</v>
      </c>
      <c r="D81" s="321">
        <f aca="true" t="shared" si="11" ref="D81:D114">IF(B81&gt;DUREE1,0,MENSUAL1)</f>
        <v>0</v>
      </c>
      <c r="E81" s="323">
        <f t="shared" si="8"/>
        <v>0</v>
      </c>
      <c r="F81" s="322">
        <f t="shared" si="9"/>
        <v>0</v>
      </c>
    </row>
    <row r="82" spans="2:6" ht="12.75">
      <c r="B82" s="319">
        <v>4</v>
      </c>
      <c r="C82" s="323">
        <f t="shared" si="10"/>
        <v>0</v>
      </c>
      <c r="D82" s="321">
        <f t="shared" si="11"/>
        <v>0</v>
      </c>
      <c r="E82" s="323">
        <f t="shared" si="8"/>
        <v>0</v>
      </c>
      <c r="F82" s="322">
        <f t="shared" si="9"/>
        <v>0</v>
      </c>
    </row>
    <row r="83" spans="2:6" ht="12.75">
      <c r="B83" s="319">
        <v>5</v>
      </c>
      <c r="C83" s="323">
        <f t="shared" si="10"/>
        <v>0</v>
      </c>
      <c r="D83" s="321">
        <f t="shared" si="11"/>
        <v>0</v>
      </c>
      <c r="E83" s="323">
        <f t="shared" si="8"/>
        <v>0</v>
      </c>
      <c r="F83" s="322">
        <f t="shared" si="9"/>
        <v>0</v>
      </c>
    </row>
    <row r="84" spans="2:6" ht="12.75">
      <c r="B84" s="319">
        <v>6</v>
      </c>
      <c r="C84" s="323">
        <f t="shared" si="10"/>
        <v>0</v>
      </c>
      <c r="D84" s="321">
        <f t="shared" si="11"/>
        <v>0</v>
      </c>
      <c r="E84" s="323">
        <f t="shared" si="8"/>
        <v>0</v>
      </c>
      <c r="F84" s="322">
        <f t="shared" si="9"/>
        <v>0</v>
      </c>
    </row>
    <row r="85" spans="2:6" ht="12.75">
      <c r="B85" s="319">
        <v>7</v>
      </c>
      <c r="C85" s="323">
        <f t="shared" si="10"/>
        <v>0</v>
      </c>
      <c r="D85" s="321">
        <f t="shared" si="11"/>
        <v>0</v>
      </c>
      <c r="E85" s="323">
        <f t="shared" si="8"/>
        <v>0</v>
      </c>
      <c r="F85" s="322">
        <f t="shared" si="9"/>
        <v>0</v>
      </c>
    </row>
    <row r="86" spans="2:6" ht="12.75">
      <c r="B86" s="319">
        <v>8</v>
      </c>
      <c r="C86" s="323">
        <f t="shared" si="10"/>
        <v>0</v>
      </c>
      <c r="D86" s="321">
        <f t="shared" si="11"/>
        <v>0</v>
      </c>
      <c r="E86" s="323">
        <f t="shared" si="8"/>
        <v>0</v>
      </c>
      <c r="F86" s="322">
        <f t="shared" si="9"/>
        <v>0</v>
      </c>
    </row>
    <row r="87" spans="2:6" ht="12.75">
      <c r="B87" s="319">
        <v>9</v>
      </c>
      <c r="C87" s="323">
        <f t="shared" si="10"/>
        <v>0</v>
      </c>
      <c r="D87" s="321">
        <f t="shared" si="11"/>
        <v>0</v>
      </c>
      <c r="E87" s="323">
        <f t="shared" si="8"/>
        <v>0</v>
      </c>
      <c r="F87" s="322">
        <f t="shared" si="9"/>
        <v>0</v>
      </c>
    </row>
    <row r="88" spans="2:6" ht="12.75">
      <c r="B88" s="319">
        <v>10</v>
      </c>
      <c r="C88" s="323">
        <f t="shared" si="10"/>
        <v>0</v>
      </c>
      <c r="D88" s="321">
        <f t="shared" si="11"/>
        <v>0</v>
      </c>
      <c r="E88" s="323">
        <f t="shared" si="8"/>
        <v>0</v>
      </c>
      <c r="F88" s="322">
        <f t="shared" si="9"/>
        <v>0</v>
      </c>
    </row>
    <row r="89" spans="2:6" ht="12.75">
      <c r="B89" s="319">
        <v>11</v>
      </c>
      <c r="C89" s="323">
        <f t="shared" si="10"/>
        <v>0</v>
      </c>
      <c r="D89" s="321">
        <f t="shared" si="11"/>
        <v>0</v>
      </c>
      <c r="E89" s="323">
        <f t="shared" si="8"/>
        <v>0</v>
      </c>
      <c r="F89" s="322">
        <f t="shared" si="9"/>
        <v>0</v>
      </c>
    </row>
    <row r="90" spans="2:6" ht="12.75">
      <c r="B90" s="324">
        <v>12</v>
      </c>
      <c r="C90" s="325">
        <f t="shared" si="10"/>
        <v>0</v>
      </c>
      <c r="D90" s="321">
        <f t="shared" si="11"/>
        <v>0</v>
      </c>
      <c r="E90" s="325">
        <f t="shared" si="8"/>
        <v>0</v>
      </c>
      <c r="F90" s="327">
        <f t="shared" si="9"/>
        <v>0</v>
      </c>
    </row>
    <row r="91" spans="2:6" ht="12.75">
      <c r="B91" s="328">
        <v>13</v>
      </c>
      <c r="C91" s="320">
        <f t="shared" si="10"/>
        <v>0</v>
      </c>
      <c r="D91" s="320">
        <f t="shared" si="11"/>
        <v>0</v>
      </c>
      <c r="E91" s="320">
        <f t="shared" si="8"/>
        <v>0</v>
      </c>
      <c r="F91" s="330">
        <f t="shared" si="9"/>
        <v>0</v>
      </c>
    </row>
    <row r="92" spans="2:6" ht="12.75">
      <c r="B92" s="319">
        <v>14</v>
      </c>
      <c r="C92" s="323">
        <f t="shared" si="10"/>
        <v>0</v>
      </c>
      <c r="D92" s="323">
        <f t="shared" si="11"/>
        <v>0</v>
      </c>
      <c r="E92" s="323">
        <f t="shared" si="8"/>
        <v>0</v>
      </c>
      <c r="F92" s="322">
        <f t="shared" si="9"/>
        <v>0</v>
      </c>
    </row>
    <row r="93" spans="2:6" ht="12.75">
      <c r="B93" s="319">
        <v>15</v>
      </c>
      <c r="C93" s="323">
        <f t="shared" si="10"/>
        <v>0</v>
      </c>
      <c r="D93" s="323">
        <f t="shared" si="11"/>
        <v>0</v>
      </c>
      <c r="E93" s="323">
        <f t="shared" si="8"/>
        <v>0</v>
      </c>
      <c r="F93" s="322">
        <f t="shared" si="9"/>
        <v>0</v>
      </c>
    </row>
    <row r="94" spans="2:6" ht="12.75">
      <c r="B94" s="319">
        <v>16</v>
      </c>
      <c r="C94" s="323">
        <f t="shared" si="10"/>
        <v>0</v>
      </c>
      <c r="D94" s="323">
        <f t="shared" si="11"/>
        <v>0</v>
      </c>
      <c r="E94" s="323">
        <f t="shared" si="8"/>
        <v>0</v>
      </c>
      <c r="F94" s="322">
        <f t="shared" si="9"/>
        <v>0</v>
      </c>
    </row>
    <row r="95" spans="2:6" ht="12.75">
      <c r="B95" s="319">
        <v>17</v>
      </c>
      <c r="C95" s="323">
        <f t="shared" si="10"/>
        <v>0</v>
      </c>
      <c r="D95" s="323">
        <f t="shared" si="11"/>
        <v>0</v>
      </c>
      <c r="E95" s="323">
        <f t="shared" si="8"/>
        <v>0</v>
      </c>
      <c r="F95" s="322">
        <f t="shared" si="9"/>
        <v>0</v>
      </c>
    </row>
    <row r="96" spans="2:6" ht="12.75">
      <c r="B96" s="319">
        <v>18</v>
      </c>
      <c r="C96" s="323">
        <f t="shared" si="10"/>
        <v>0</v>
      </c>
      <c r="D96" s="323">
        <f t="shared" si="11"/>
        <v>0</v>
      </c>
      <c r="E96" s="323">
        <f t="shared" si="8"/>
        <v>0</v>
      </c>
      <c r="F96" s="322">
        <f t="shared" si="9"/>
        <v>0</v>
      </c>
    </row>
    <row r="97" spans="2:6" ht="12.75">
      <c r="B97" s="319">
        <v>19</v>
      </c>
      <c r="C97" s="323">
        <f t="shared" si="10"/>
        <v>0</v>
      </c>
      <c r="D97" s="323">
        <f t="shared" si="11"/>
        <v>0</v>
      </c>
      <c r="E97" s="323">
        <f t="shared" si="8"/>
        <v>0</v>
      </c>
      <c r="F97" s="322">
        <f t="shared" si="9"/>
        <v>0</v>
      </c>
    </row>
    <row r="98" spans="2:6" ht="12.75">
      <c r="B98" s="319">
        <v>20</v>
      </c>
      <c r="C98" s="323">
        <f t="shared" si="10"/>
        <v>0</v>
      </c>
      <c r="D98" s="323">
        <f t="shared" si="11"/>
        <v>0</v>
      </c>
      <c r="E98" s="323">
        <f t="shared" si="8"/>
        <v>0</v>
      </c>
      <c r="F98" s="322">
        <f t="shared" si="9"/>
        <v>0</v>
      </c>
    </row>
    <row r="99" spans="2:6" ht="12.75">
      <c r="B99" s="319">
        <v>21</v>
      </c>
      <c r="C99" s="323">
        <f t="shared" si="10"/>
        <v>0</v>
      </c>
      <c r="D99" s="323">
        <f t="shared" si="11"/>
        <v>0</v>
      </c>
      <c r="E99" s="323">
        <f t="shared" si="8"/>
        <v>0</v>
      </c>
      <c r="F99" s="322">
        <f t="shared" si="9"/>
        <v>0</v>
      </c>
    </row>
    <row r="100" spans="2:6" ht="12.75">
      <c r="B100" s="319">
        <v>22</v>
      </c>
      <c r="C100" s="323">
        <f t="shared" si="10"/>
        <v>0</v>
      </c>
      <c r="D100" s="323">
        <f t="shared" si="11"/>
        <v>0</v>
      </c>
      <c r="E100" s="323">
        <f t="shared" si="8"/>
        <v>0</v>
      </c>
      <c r="F100" s="322">
        <f t="shared" si="9"/>
        <v>0</v>
      </c>
    </row>
    <row r="101" spans="2:6" ht="12.75">
      <c r="B101" s="319">
        <v>23</v>
      </c>
      <c r="C101" s="323">
        <f t="shared" si="10"/>
        <v>0</v>
      </c>
      <c r="D101" s="323">
        <f t="shared" si="11"/>
        <v>0</v>
      </c>
      <c r="E101" s="323">
        <f t="shared" si="8"/>
        <v>0</v>
      </c>
      <c r="F101" s="322">
        <f t="shared" si="9"/>
        <v>0</v>
      </c>
    </row>
    <row r="102" spans="2:6" ht="12.75">
      <c r="B102" s="319">
        <v>24</v>
      </c>
      <c r="C102" s="325">
        <f t="shared" si="10"/>
        <v>0</v>
      </c>
      <c r="D102" s="325">
        <f t="shared" si="11"/>
        <v>0</v>
      </c>
      <c r="E102" s="325">
        <f t="shared" si="8"/>
        <v>0</v>
      </c>
      <c r="F102" s="327">
        <f t="shared" si="9"/>
        <v>0</v>
      </c>
    </row>
    <row r="103" spans="2:6" ht="12.75">
      <c r="B103" s="328">
        <v>25</v>
      </c>
      <c r="C103" s="320">
        <f t="shared" si="10"/>
        <v>0</v>
      </c>
      <c r="D103" s="320">
        <f t="shared" si="11"/>
        <v>0</v>
      </c>
      <c r="E103" s="320">
        <f t="shared" si="8"/>
        <v>0</v>
      </c>
      <c r="F103" s="330">
        <f t="shared" si="9"/>
        <v>0</v>
      </c>
    </row>
    <row r="104" spans="2:6" ht="12.75">
      <c r="B104" s="319">
        <v>26</v>
      </c>
      <c r="C104" s="323">
        <f t="shared" si="10"/>
        <v>0</v>
      </c>
      <c r="D104" s="323">
        <f t="shared" si="11"/>
        <v>0</v>
      </c>
      <c r="E104" s="323">
        <f t="shared" si="8"/>
        <v>0</v>
      </c>
      <c r="F104" s="322">
        <f t="shared" si="9"/>
        <v>0</v>
      </c>
    </row>
    <row r="105" spans="2:6" ht="12.75">
      <c r="B105" s="319">
        <v>27</v>
      </c>
      <c r="C105" s="323">
        <f t="shared" si="10"/>
        <v>0</v>
      </c>
      <c r="D105" s="323">
        <f t="shared" si="11"/>
        <v>0</v>
      </c>
      <c r="E105" s="323">
        <f t="shared" si="8"/>
        <v>0</v>
      </c>
      <c r="F105" s="322">
        <f t="shared" si="9"/>
        <v>0</v>
      </c>
    </row>
    <row r="106" spans="2:6" ht="12.75">
      <c r="B106" s="319">
        <v>28</v>
      </c>
      <c r="C106" s="323">
        <f t="shared" si="10"/>
        <v>0</v>
      </c>
      <c r="D106" s="323">
        <f t="shared" si="11"/>
        <v>0</v>
      </c>
      <c r="E106" s="323">
        <f t="shared" si="8"/>
        <v>0</v>
      </c>
      <c r="F106" s="322">
        <f t="shared" si="9"/>
        <v>0</v>
      </c>
    </row>
    <row r="107" spans="2:6" ht="12.75">
      <c r="B107" s="319">
        <v>29</v>
      </c>
      <c r="C107" s="323">
        <f t="shared" si="10"/>
        <v>0</v>
      </c>
      <c r="D107" s="323">
        <f t="shared" si="11"/>
        <v>0</v>
      </c>
      <c r="E107" s="323">
        <f t="shared" si="8"/>
        <v>0</v>
      </c>
      <c r="F107" s="322">
        <f t="shared" si="9"/>
        <v>0</v>
      </c>
    </row>
    <row r="108" spans="2:6" ht="12.75">
      <c r="B108" s="319">
        <v>30</v>
      </c>
      <c r="C108" s="323">
        <f t="shared" si="10"/>
        <v>0</v>
      </c>
      <c r="D108" s="323">
        <f t="shared" si="11"/>
        <v>0</v>
      </c>
      <c r="E108" s="323">
        <f t="shared" si="8"/>
        <v>0</v>
      </c>
      <c r="F108" s="322">
        <f t="shared" si="9"/>
        <v>0</v>
      </c>
    </row>
    <row r="109" spans="2:6" ht="12.75">
      <c r="B109" s="319">
        <v>31</v>
      </c>
      <c r="C109" s="323">
        <f t="shared" si="10"/>
        <v>0</v>
      </c>
      <c r="D109" s="323">
        <f t="shared" si="11"/>
        <v>0</v>
      </c>
      <c r="E109" s="323">
        <f t="shared" si="8"/>
        <v>0</v>
      </c>
      <c r="F109" s="322">
        <f t="shared" si="9"/>
        <v>0</v>
      </c>
    </row>
    <row r="110" spans="2:6" ht="12.75">
      <c r="B110" s="319">
        <v>32</v>
      </c>
      <c r="C110" s="323">
        <f t="shared" si="10"/>
        <v>0</v>
      </c>
      <c r="D110" s="323">
        <f t="shared" si="11"/>
        <v>0</v>
      </c>
      <c r="E110" s="323">
        <f t="shared" si="8"/>
        <v>0</v>
      </c>
      <c r="F110" s="322">
        <f t="shared" si="9"/>
        <v>0</v>
      </c>
    </row>
    <row r="111" spans="2:6" ht="12.75">
      <c r="B111" s="319">
        <v>33</v>
      </c>
      <c r="C111" s="323">
        <f t="shared" si="10"/>
        <v>0</v>
      </c>
      <c r="D111" s="323">
        <f t="shared" si="11"/>
        <v>0</v>
      </c>
      <c r="E111" s="323">
        <f t="shared" si="8"/>
        <v>0</v>
      </c>
      <c r="F111" s="322">
        <f>D111-E111</f>
        <v>0</v>
      </c>
    </row>
    <row r="112" spans="2:6" ht="12.75">
      <c r="B112" s="319">
        <v>34</v>
      </c>
      <c r="C112" s="323">
        <f>C111-F111</f>
        <v>0</v>
      </c>
      <c r="D112" s="323">
        <f t="shared" si="11"/>
        <v>0</v>
      </c>
      <c r="E112" s="323">
        <f t="shared" si="8"/>
        <v>0</v>
      </c>
      <c r="F112" s="322">
        <f>D112-E112</f>
        <v>0</v>
      </c>
    </row>
    <row r="113" spans="2:6" ht="12.75">
      <c r="B113" s="319">
        <v>35</v>
      </c>
      <c r="C113" s="323">
        <f>C112-F112</f>
        <v>0</v>
      </c>
      <c r="D113" s="323">
        <f t="shared" si="11"/>
        <v>0</v>
      </c>
      <c r="E113" s="323">
        <f t="shared" si="8"/>
        <v>0</v>
      </c>
      <c r="F113" s="322">
        <f>D113-E113</f>
        <v>0</v>
      </c>
    </row>
    <row r="114" spans="2:6" ht="12.75">
      <c r="B114" s="324">
        <v>36</v>
      </c>
      <c r="C114" s="325">
        <f>C113-F113</f>
        <v>0</v>
      </c>
      <c r="D114" s="325">
        <f t="shared" si="11"/>
        <v>0</v>
      </c>
      <c r="E114" s="325">
        <f t="shared" si="8"/>
        <v>0</v>
      </c>
      <c r="F114" s="327">
        <f>D114-E114</f>
        <v>0</v>
      </c>
    </row>
    <row r="116" spans="3:5" ht="12.75">
      <c r="C116" s="309" t="s">
        <v>252</v>
      </c>
      <c r="D116" s="309" t="s">
        <v>253</v>
      </c>
      <c r="E116" s="309" t="s">
        <v>257</v>
      </c>
    </row>
    <row r="117" spans="2:5" ht="12.75">
      <c r="B117" s="332" t="s">
        <v>254</v>
      </c>
      <c r="C117" s="333">
        <f>SUM(E79:E90)</f>
        <v>0</v>
      </c>
      <c r="D117" s="334">
        <f>SUM(E91:E102)</f>
        <v>0</v>
      </c>
      <c r="E117" s="334">
        <f>SUM(E103:E114)</f>
        <v>0</v>
      </c>
    </row>
    <row r="118" spans="2:5" ht="12.75">
      <c r="B118" s="332" t="s">
        <v>255</v>
      </c>
      <c r="C118" s="335">
        <f>SUM(F79:F90)</f>
        <v>0</v>
      </c>
      <c r="D118" s="336">
        <f>SUM(F91:F102)</f>
        <v>0</v>
      </c>
      <c r="E118" s="336">
        <f>SUM(F103:F114)</f>
        <v>0</v>
      </c>
    </row>
    <row r="135" ht="15">
      <c r="D135" s="306" t="s">
        <v>258</v>
      </c>
    </row>
    <row r="138" spans="2:6" ht="12.75">
      <c r="B138" s="307" t="s">
        <v>243</v>
      </c>
      <c r="C138" s="308" t="s">
        <v>244</v>
      </c>
      <c r="D138" s="309" t="s">
        <v>245</v>
      </c>
      <c r="E138" s="309" t="s">
        <v>246</v>
      </c>
      <c r="F138" s="309" t="s">
        <v>247</v>
      </c>
    </row>
    <row r="139" spans="2:6" ht="12.75">
      <c r="B139" s="311">
        <f>'Plan de financement'!J44</f>
        <v>0</v>
      </c>
      <c r="C139" s="312"/>
      <c r="D139" s="313">
        <v>12</v>
      </c>
      <c r="E139" s="314">
        <v>0.05</v>
      </c>
      <c r="F139" s="315">
        <f>B139*(TAUX2/12)/(1-(1+(TAUX2/12))^-DUREE2)</f>
        <v>0</v>
      </c>
    </row>
    <row r="141" spans="2:6" ht="12.75">
      <c r="B141" s="316" t="s">
        <v>248</v>
      </c>
      <c r="C141" s="317" t="s">
        <v>249</v>
      </c>
      <c r="D141" s="317" t="s">
        <v>247</v>
      </c>
      <c r="E141" s="317" t="s">
        <v>250</v>
      </c>
      <c r="F141" s="317" t="s">
        <v>243</v>
      </c>
    </row>
    <row r="142" spans="2:6" ht="12.75">
      <c r="B142" s="319">
        <v>1</v>
      </c>
      <c r="C142" s="320">
        <f>B139</f>
        <v>0</v>
      </c>
      <c r="D142" s="320">
        <f aca="true" t="shared" si="12" ref="D142:D177">IF(DUREE2&lt;B142,0,MENSUAL2)</f>
        <v>0</v>
      </c>
      <c r="E142" s="320">
        <f aca="true" t="shared" si="13" ref="E142:E177">C142*TAUX2/12</f>
        <v>0</v>
      </c>
      <c r="F142" s="322">
        <f aca="true" t="shared" si="14" ref="F142:F173">D142-E142</f>
        <v>0</v>
      </c>
    </row>
    <row r="143" spans="2:6" ht="12.75">
      <c r="B143" s="319">
        <v>2</v>
      </c>
      <c r="C143" s="323">
        <f aca="true" t="shared" si="15" ref="C143:C174">C142-F142</f>
        <v>0</v>
      </c>
      <c r="D143" s="323">
        <f t="shared" si="12"/>
        <v>0</v>
      </c>
      <c r="E143" s="323">
        <f t="shared" si="13"/>
        <v>0</v>
      </c>
      <c r="F143" s="322">
        <f t="shared" si="14"/>
        <v>0</v>
      </c>
    </row>
    <row r="144" spans="2:6" ht="12.75">
      <c r="B144" s="319">
        <v>3</v>
      </c>
      <c r="C144" s="323">
        <f t="shared" si="15"/>
        <v>0</v>
      </c>
      <c r="D144" s="323">
        <f t="shared" si="12"/>
        <v>0</v>
      </c>
      <c r="E144" s="323">
        <f t="shared" si="13"/>
        <v>0</v>
      </c>
      <c r="F144" s="322">
        <f t="shared" si="14"/>
        <v>0</v>
      </c>
    </row>
    <row r="145" spans="2:6" ht="12.75">
      <c r="B145" s="319">
        <v>4</v>
      </c>
      <c r="C145" s="323">
        <f t="shared" si="15"/>
        <v>0</v>
      </c>
      <c r="D145" s="323">
        <f t="shared" si="12"/>
        <v>0</v>
      </c>
      <c r="E145" s="323">
        <f t="shared" si="13"/>
        <v>0</v>
      </c>
      <c r="F145" s="322">
        <f t="shared" si="14"/>
        <v>0</v>
      </c>
    </row>
    <row r="146" spans="2:6" ht="12.75">
      <c r="B146" s="319">
        <v>5</v>
      </c>
      <c r="C146" s="323">
        <f t="shared" si="15"/>
        <v>0</v>
      </c>
      <c r="D146" s="323">
        <f t="shared" si="12"/>
        <v>0</v>
      </c>
      <c r="E146" s="323">
        <f t="shared" si="13"/>
        <v>0</v>
      </c>
      <c r="F146" s="322">
        <f t="shared" si="14"/>
        <v>0</v>
      </c>
    </row>
    <row r="147" spans="2:6" ht="12.75">
      <c r="B147" s="319">
        <v>6</v>
      </c>
      <c r="C147" s="323">
        <f t="shared" si="15"/>
        <v>0</v>
      </c>
      <c r="D147" s="323">
        <f t="shared" si="12"/>
        <v>0</v>
      </c>
      <c r="E147" s="323">
        <f t="shared" si="13"/>
        <v>0</v>
      </c>
      <c r="F147" s="322">
        <f t="shared" si="14"/>
        <v>0</v>
      </c>
    </row>
    <row r="148" spans="2:6" ht="12.75">
      <c r="B148" s="319">
        <v>7</v>
      </c>
      <c r="C148" s="323">
        <f t="shared" si="15"/>
        <v>0</v>
      </c>
      <c r="D148" s="323">
        <f t="shared" si="12"/>
        <v>0</v>
      </c>
      <c r="E148" s="323">
        <f t="shared" si="13"/>
        <v>0</v>
      </c>
      <c r="F148" s="322">
        <f t="shared" si="14"/>
        <v>0</v>
      </c>
    </row>
    <row r="149" spans="2:6" ht="12.75">
      <c r="B149" s="319">
        <v>8</v>
      </c>
      <c r="C149" s="323">
        <f t="shared" si="15"/>
        <v>0</v>
      </c>
      <c r="D149" s="323">
        <f t="shared" si="12"/>
        <v>0</v>
      </c>
      <c r="E149" s="323">
        <f t="shared" si="13"/>
        <v>0</v>
      </c>
      <c r="F149" s="322">
        <f t="shared" si="14"/>
        <v>0</v>
      </c>
    </row>
    <row r="150" spans="2:6" ht="12.75">
      <c r="B150" s="319">
        <v>9</v>
      </c>
      <c r="C150" s="323">
        <f t="shared" si="15"/>
        <v>0</v>
      </c>
      <c r="D150" s="323">
        <f t="shared" si="12"/>
        <v>0</v>
      </c>
      <c r="E150" s="323">
        <f t="shared" si="13"/>
        <v>0</v>
      </c>
      <c r="F150" s="322">
        <f t="shared" si="14"/>
        <v>0</v>
      </c>
    </row>
    <row r="151" spans="2:6" ht="12.75">
      <c r="B151" s="319">
        <v>10</v>
      </c>
      <c r="C151" s="323">
        <f t="shared" si="15"/>
        <v>0</v>
      </c>
      <c r="D151" s="323">
        <f t="shared" si="12"/>
        <v>0</v>
      </c>
      <c r="E151" s="323">
        <f t="shared" si="13"/>
        <v>0</v>
      </c>
      <c r="F151" s="322">
        <f t="shared" si="14"/>
        <v>0</v>
      </c>
    </row>
    <row r="152" spans="2:6" ht="12.75">
      <c r="B152" s="319">
        <v>11</v>
      </c>
      <c r="C152" s="323">
        <f t="shared" si="15"/>
        <v>0</v>
      </c>
      <c r="D152" s="323">
        <f t="shared" si="12"/>
        <v>0</v>
      </c>
      <c r="E152" s="323">
        <f t="shared" si="13"/>
        <v>0</v>
      </c>
      <c r="F152" s="322">
        <f t="shared" si="14"/>
        <v>0</v>
      </c>
    </row>
    <row r="153" spans="2:6" ht="12.75">
      <c r="B153" s="319">
        <v>12</v>
      </c>
      <c r="C153" s="325">
        <f t="shared" si="15"/>
        <v>0</v>
      </c>
      <c r="D153" s="325">
        <f t="shared" si="12"/>
        <v>0</v>
      </c>
      <c r="E153" s="325">
        <f t="shared" si="13"/>
        <v>0</v>
      </c>
      <c r="F153" s="327">
        <f t="shared" si="14"/>
        <v>0</v>
      </c>
    </row>
    <row r="154" spans="2:6" ht="12.75">
      <c r="B154" s="328">
        <v>13</v>
      </c>
      <c r="C154" s="320">
        <f t="shared" si="15"/>
        <v>0</v>
      </c>
      <c r="D154" s="320">
        <f t="shared" si="12"/>
        <v>0</v>
      </c>
      <c r="E154" s="320">
        <f t="shared" si="13"/>
        <v>0</v>
      </c>
      <c r="F154" s="330">
        <f t="shared" si="14"/>
        <v>0</v>
      </c>
    </row>
    <row r="155" spans="2:6" ht="12.75">
      <c r="B155" s="319">
        <v>14</v>
      </c>
      <c r="C155" s="323">
        <f t="shared" si="15"/>
        <v>0</v>
      </c>
      <c r="D155" s="323">
        <f t="shared" si="12"/>
        <v>0</v>
      </c>
      <c r="E155" s="323">
        <f t="shared" si="13"/>
        <v>0</v>
      </c>
      <c r="F155" s="322">
        <f t="shared" si="14"/>
        <v>0</v>
      </c>
    </row>
    <row r="156" spans="2:6" ht="12.75">
      <c r="B156" s="319">
        <v>15</v>
      </c>
      <c r="C156" s="323">
        <f t="shared" si="15"/>
        <v>0</v>
      </c>
      <c r="D156" s="323">
        <f t="shared" si="12"/>
        <v>0</v>
      </c>
      <c r="E156" s="323">
        <f t="shared" si="13"/>
        <v>0</v>
      </c>
      <c r="F156" s="322">
        <f t="shared" si="14"/>
        <v>0</v>
      </c>
    </row>
    <row r="157" spans="2:6" ht="12.75">
      <c r="B157" s="319">
        <v>16</v>
      </c>
      <c r="C157" s="323">
        <f t="shared" si="15"/>
        <v>0</v>
      </c>
      <c r="D157" s="323">
        <f t="shared" si="12"/>
        <v>0</v>
      </c>
      <c r="E157" s="323">
        <f t="shared" si="13"/>
        <v>0</v>
      </c>
      <c r="F157" s="322">
        <f t="shared" si="14"/>
        <v>0</v>
      </c>
    </row>
    <row r="158" spans="2:6" ht="12.75">
      <c r="B158" s="319">
        <v>17</v>
      </c>
      <c r="C158" s="323">
        <f t="shared" si="15"/>
        <v>0</v>
      </c>
      <c r="D158" s="323">
        <f t="shared" si="12"/>
        <v>0</v>
      </c>
      <c r="E158" s="323">
        <f t="shared" si="13"/>
        <v>0</v>
      </c>
      <c r="F158" s="322">
        <f t="shared" si="14"/>
        <v>0</v>
      </c>
    </row>
    <row r="159" spans="2:6" ht="12.75">
      <c r="B159" s="319">
        <v>18</v>
      </c>
      <c r="C159" s="323">
        <f t="shared" si="15"/>
        <v>0</v>
      </c>
      <c r="D159" s="323">
        <f t="shared" si="12"/>
        <v>0</v>
      </c>
      <c r="E159" s="323">
        <f t="shared" si="13"/>
        <v>0</v>
      </c>
      <c r="F159" s="322">
        <f t="shared" si="14"/>
        <v>0</v>
      </c>
    </row>
    <row r="160" spans="2:6" ht="12.75">
      <c r="B160" s="319">
        <v>19</v>
      </c>
      <c r="C160" s="323">
        <f t="shared" si="15"/>
        <v>0</v>
      </c>
      <c r="D160" s="323">
        <f t="shared" si="12"/>
        <v>0</v>
      </c>
      <c r="E160" s="323">
        <f t="shared" si="13"/>
        <v>0</v>
      </c>
      <c r="F160" s="322">
        <f t="shared" si="14"/>
        <v>0</v>
      </c>
    </row>
    <row r="161" spans="2:6" ht="12.75">
      <c r="B161" s="319">
        <v>20</v>
      </c>
      <c r="C161" s="323">
        <f t="shared" si="15"/>
        <v>0</v>
      </c>
      <c r="D161" s="323">
        <f t="shared" si="12"/>
        <v>0</v>
      </c>
      <c r="E161" s="323">
        <f t="shared" si="13"/>
        <v>0</v>
      </c>
      <c r="F161" s="322">
        <f t="shared" si="14"/>
        <v>0</v>
      </c>
    </row>
    <row r="162" spans="2:6" ht="12.75">
      <c r="B162" s="319">
        <v>21</v>
      </c>
      <c r="C162" s="323">
        <f t="shared" si="15"/>
        <v>0</v>
      </c>
      <c r="D162" s="323">
        <f t="shared" si="12"/>
        <v>0</v>
      </c>
      <c r="E162" s="323">
        <f t="shared" si="13"/>
        <v>0</v>
      </c>
      <c r="F162" s="322">
        <f t="shared" si="14"/>
        <v>0</v>
      </c>
    </row>
    <row r="163" spans="2:6" ht="12.75">
      <c r="B163" s="319">
        <v>22</v>
      </c>
      <c r="C163" s="323">
        <f t="shared" si="15"/>
        <v>0</v>
      </c>
      <c r="D163" s="323">
        <f t="shared" si="12"/>
        <v>0</v>
      </c>
      <c r="E163" s="323">
        <f t="shared" si="13"/>
        <v>0</v>
      </c>
      <c r="F163" s="322">
        <f t="shared" si="14"/>
        <v>0</v>
      </c>
    </row>
    <row r="164" spans="2:6" ht="12.75">
      <c r="B164" s="319">
        <v>23</v>
      </c>
      <c r="C164" s="323">
        <f t="shared" si="15"/>
        <v>0</v>
      </c>
      <c r="D164" s="323">
        <f t="shared" si="12"/>
        <v>0</v>
      </c>
      <c r="E164" s="323">
        <f t="shared" si="13"/>
        <v>0</v>
      </c>
      <c r="F164" s="322">
        <f t="shared" si="14"/>
        <v>0</v>
      </c>
    </row>
    <row r="165" spans="2:6" ht="12.75">
      <c r="B165" s="319">
        <v>24</v>
      </c>
      <c r="C165" s="325">
        <f t="shared" si="15"/>
        <v>0</v>
      </c>
      <c r="D165" s="325">
        <f t="shared" si="12"/>
        <v>0</v>
      </c>
      <c r="E165" s="325">
        <f t="shared" si="13"/>
        <v>0</v>
      </c>
      <c r="F165" s="327">
        <f t="shared" si="14"/>
        <v>0</v>
      </c>
    </row>
    <row r="166" spans="2:6" ht="12.75">
      <c r="B166" s="328">
        <v>25</v>
      </c>
      <c r="C166" s="320">
        <f t="shared" si="15"/>
        <v>0</v>
      </c>
      <c r="D166" s="320">
        <f t="shared" si="12"/>
        <v>0</v>
      </c>
      <c r="E166" s="320">
        <f t="shared" si="13"/>
        <v>0</v>
      </c>
      <c r="F166" s="330">
        <f t="shared" si="14"/>
        <v>0</v>
      </c>
    </row>
    <row r="167" spans="2:6" ht="12.75">
      <c r="B167" s="319">
        <v>26</v>
      </c>
      <c r="C167" s="323">
        <f t="shared" si="15"/>
        <v>0</v>
      </c>
      <c r="D167" s="323">
        <f t="shared" si="12"/>
        <v>0</v>
      </c>
      <c r="E167" s="323">
        <f t="shared" si="13"/>
        <v>0</v>
      </c>
      <c r="F167" s="322">
        <f t="shared" si="14"/>
        <v>0</v>
      </c>
    </row>
    <row r="168" spans="2:6" ht="12.75">
      <c r="B168" s="319">
        <v>27</v>
      </c>
      <c r="C168" s="323">
        <f t="shared" si="15"/>
        <v>0</v>
      </c>
      <c r="D168" s="323">
        <f t="shared" si="12"/>
        <v>0</v>
      </c>
      <c r="E168" s="323">
        <f t="shared" si="13"/>
        <v>0</v>
      </c>
      <c r="F168" s="322">
        <f t="shared" si="14"/>
        <v>0</v>
      </c>
    </row>
    <row r="169" spans="2:6" ht="12.75">
      <c r="B169" s="319">
        <v>28</v>
      </c>
      <c r="C169" s="323">
        <f t="shared" si="15"/>
        <v>0</v>
      </c>
      <c r="D169" s="323">
        <f t="shared" si="12"/>
        <v>0</v>
      </c>
      <c r="E169" s="323">
        <f t="shared" si="13"/>
        <v>0</v>
      </c>
      <c r="F169" s="322">
        <f t="shared" si="14"/>
        <v>0</v>
      </c>
    </row>
    <row r="170" spans="2:6" ht="12.75">
      <c r="B170" s="319">
        <v>29</v>
      </c>
      <c r="C170" s="323">
        <f t="shared" si="15"/>
        <v>0</v>
      </c>
      <c r="D170" s="323">
        <f t="shared" si="12"/>
        <v>0</v>
      </c>
      <c r="E170" s="323">
        <f t="shared" si="13"/>
        <v>0</v>
      </c>
      <c r="F170" s="322">
        <f t="shared" si="14"/>
        <v>0</v>
      </c>
    </row>
    <row r="171" spans="2:6" ht="12.75">
      <c r="B171" s="319">
        <v>30</v>
      </c>
      <c r="C171" s="323">
        <f t="shared" si="15"/>
        <v>0</v>
      </c>
      <c r="D171" s="323">
        <f t="shared" si="12"/>
        <v>0</v>
      </c>
      <c r="E171" s="323">
        <f t="shared" si="13"/>
        <v>0</v>
      </c>
      <c r="F171" s="322">
        <f t="shared" si="14"/>
        <v>0</v>
      </c>
    </row>
    <row r="172" spans="2:6" ht="12.75">
      <c r="B172" s="319">
        <v>31</v>
      </c>
      <c r="C172" s="323">
        <f t="shared" si="15"/>
        <v>0</v>
      </c>
      <c r="D172" s="323">
        <f t="shared" si="12"/>
        <v>0</v>
      </c>
      <c r="E172" s="323">
        <f t="shared" si="13"/>
        <v>0</v>
      </c>
      <c r="F172" s="322">
        <f t="shared" si="14"/>
        <v>0</v>
      </c>
    </row>
    <row r="173" spans="2:6" ht="12.75">
      <c r="B173" s="319">
        <v>32</v>
      </c>
      <c r="C173" s="323">
        <f t="shared" si="15"/>
        <v>0</v>
      </c>
      <c r="D173" s="323">
        <f t="shared" si="12"/>
        <v>0</v>
      </c>
      <c r="E173" s="323">
        <f t="shared" si="13"/>
        <v>0</v>
      </c>
      <c r="F173" s="322">
        <f t="shared" si="14"/>
        <v>0</v>
      </c>
    </row>
    <row r="174" spans="2:6" ht="12.75">
      <c r="B174" s="319">
        <v>33</v>
      </c>
      <c r="C174" s="323">
        <f t="shared" si="15"/>
        <v>0</v>
      </c>
      <c r="D174" s="323">
        <f t="shared" si="12"/>
        <v>0</v>
      </c>
      <c r="E174" s="323">
        <f t="shared" si="13"/>
        <v>0</v>
      </c>
      <c r="F174" s="322">
        <f>D174-E174</f>
        <v>0</v>
      </c>
    </row>
    <row r="175" spans="2:6" ht="12.75">
      <c r="B175" s="319">
        <v>34</v>
      </c>
      <c r="C175" s="323">
        <f>C174-F174</f>
        <v>0</v>
      </c>
      <c r="D175" s="323">
        <f t="shared" si="12"/>
        <v>0</v>
      </c>
      <c r="E175" s="323">
        <f t="shared" si="13"/>
        <v>0</v>
      </c>
      <c r="F175" s="322">
        <f>D175-E175</f>
        <v>0</v>
      </c>
    </row>
    <row r="176" spans="2:6" ht="12.75">
      <c r="B176" s="319">
        <v>35</v>
      </c>
      <c r="C176" s="323">
        <f>C175-F175</f>
        <v>0</v>
      </c>
      <c r="D176" s="323">
        <f t="shared" si="12"/>
        <v>0</v>
      </c>
      <c r="E176" s="323">
        <f t="shared" si="13"/>
        <v>0</v>
      </c>
      <c r="F176" s="322">
        <f>D176-E176</f>
        <v>0</v>
      </c>
    </row>
    <row r="177" spans="2:6" ht="12.75">
      <c r="B177" s="324">
        <v>36</v>
      </c>
      <c r="C177" s="325">
        <f>C176-F176</f>
        <v>0</v>
      </c>
      <c r="D177" s="325">
        <f t="shared" si="12"/>
        <v>0</v>
      </c>
      <c r="E177" s="325">
        <f t="shared" si="13"/>
        <v>0</v>
      </c>
      <c r="F177" s="327">
        <f>D177-E177</f>
        <v>0</v>
      </c>
    </row>
    <row r="181" spans="3:5" ht="12.75">
      <c r="C181" s="309" t="s">
        <v>253</v>
      </c>
      <c r="D181" s="309" t="s">
        <v>257</v>
      </c>
      <c r="E181" s="309" t="s">
        <v>259</v>
      </c>
    </row>
    <row r="182" spans="2:5" ht="12.75">
      <c r="B182" s="332" t="s">
        <v>254</v>
      </c>
      <c r="C182" s="333">
        <f>SUM(E142:E153)</f>
        <v>0</v>
      </c>
      <c r="D182" s="334">
        <f>SUM(E154:E165)</f>
        <v>0</v>
      </c>
      <c r="E182" s="334">
        <f>SUM(E166:E177)</f>
        <v>0</v>
      </c>
    </row>
    <row r="183" spans="2:5" ht="12.75">
      <c r="B183" s="332" t="s">
        <v>255</v>
      </c>
      <c r="C183" s="335">
        <f>SUM(F142:F153)</f>
        <v>0</v>
      </c>
      <c r="D183" s="336">
        <f>SUM(F154:F165)</f>
        <v>0</v>
      </c>
      <c r="E183" s="336">
        <f>SUM(F166:F177)</f>
        <v>0</v>
      </c>
    </row>
    <row r="188" spans="2:5" ht="15">
      <c r="B188" s="209"/>
      <c r="C188" s="306" t="s">
        <v>260</v>
      </c>
      <c r="D188" s="306"/>
      <c r="E188" s="209"/>
    </row>
    <row r="189" spans="2:5" ht="15">
      <c r="B189" s="209"/>
      <c r="C189" s="209"/>
      <c r="D189" s="209"/>
      <c r="E189" s="209"/>
    </row>
    <row r="190" spans="2:5" ht="15">
      <c r="B190" s="209"/>
      <c r="C190" s="209"/>
      <c r="D190" s="209"/>
      <c r="E190" s="209"/>
    </row>
    <row r="191" spans="2:5" ht="15">
      <c r="B191" s="209"/>
      <c r="C191" s="337" t="s">
        <v>251</v>
      </c>
      <c r="D191" s="337" t="s">
        <v>252</v>
      </c>
      <c r="E191" s="337" t="s">
        <v>253</v>
      </c>
    </row>
    <row r="192" spans="2:5" ht="15">
      <c r="B192" s="338" t="s">
        <v>254</v>
      </c>
      <c r="C192" s="339">
        <f>C50</f>
        <v>0</v>
      </c>
      <c r="D192" s="339">
        <f>D50+C117</f>
        <v>0</v>
      </c>
      <c r="E192" s="339">
        <f>E50+D117+C182</f>
        <v>0</v>
      </c>
    </row>
    <row r="193" spans="2:5" ht="15">
      <c r="B193" s="338" t="s">
        <v>255</v>
      </c>
      <c r="C193" s="340">
        <f>C51</f>
        <v>0</v>
      </c>
      <c r="D193" s="339">
        <f>D51+C118</f>
        <v>0</v>
      </c>
      <c r="E193" s="339">
        <f>E51+D118+C183</f>
        <v>0</v>
      </c>
    </row>
  </sheetData>
  <sheetProtection sheet="1" objects="1" scenarios="1"/>
  <printOptions/>
  <pageMargins left="0.7875" right="0.7875" top="0.9840277777777777" bottom="0.9840277777777777" header="0.5118055555555555" footer="0.5118055555555555"/>
  <pageSetup horizontalDpi="300" verticalDpi="300" orientation="portrait" paperSize="9" scale="83"/>
  <headerFooter alignWithMargins="0">
    <oddHeader>&amp;CPrévisionnel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48"/>
  <sheetViews>
    <sheetView showGridLines="0" zoomScale="50" zoomScaleNormal="50" zoomScaleSheetLayoutView="25" workbookViewId="0" topLeftCell="A1">
      <selection activeCell="J45" sqref="J45"/>
    </sheetView>
  </sheetViews>
  <sheetFormatPr defaultColWidth="11.421875" defaultRowHeight="12.75"/>
  <cols>
    <col min="1" max="1" width="40.57421875" style="341" customWidth="1"/>
    <col min="2" max="2" width="19.57421875" style="341" customWidth="1"/>
    <col min="3" max="3" width="19.7109375" style="341" customWidth="1"/>
    <col min="4" max="4" width="20.8515625" style="341" customWidth="1"/>
    <col min="5" max="5" width="21.140625" style="341" customWidth="1"/>
    <col min="6" max="6" width="19.8515625" style="341" customWidth="1"/>
    <col min="7" max="7" width="15.28125" style="341" customWidth="1"/>
    <col min="8" max="8" width="16.57421875" style="341" customWidth="1"/>
    <col min="9" max="9" width="19.00390625" style="341" customWidth="1"/>
    <col min="10" max="10" width="18.57421875" style="341" customWidth="1"/>
    <col min="11" max="11" width="15.8515625" style="341" customWidth="1"/>
    <col min="12" max="12" width="17.57421875" style="341" customWidth="1"/>
    <col min="13" max="13" width="16.8515625" style="341" customWidth="1"/>
    <col min="14" max="14" width="13.7109375" style="341" customWidth="1"/>
    <col min="15" max="15" width="17.421875" style="341" customWidth="1"/>
    <col min="16" max="16" width="16.140625" style="341" customWidth="1"/>
    <col min="17" max="17" width="11.421875" style="341" customWidth="1"/>
    <col min="18" max="18" width="13.8515625" style="341" customWidth="1"/>
    <col min="19" max="19" width="12.28125" style="341" customWidth="1"/>
    <col min="20" max="16384" width="11.421875" style="341" customWidth="1"/>
  </cols>
  <sheetData>
    <row r="1" spans="1:16" ht="17.25">
      <c r="A1" s="342"/>
      <c r="B1" s="342"/>
      <c r="C1" s="342"/>
      <c r="D1" s="342"/>
      <c r="E1" s="342"/>
      <c r="F1" s="342"/>
      <c r="G1" s="342"/>
      <c r="H1" s="342"/>
      <c r="I1" s="342"/>
      <c r="J1" s="342"/>
      <c r="K1" s="342"/>
      <c r="L1" s="342"/>
      <c r="M1" s="342"/>
      <c r="N1" s="342"/>
      <c r="O1" s="343"/>
      <c r="P1" s="343"/>
    </row>
    <row r="2" spans="1:16" ht="17.25">
      <c r="A2" s="342"/>
      <c r="B2" s="342"/>
      <c r="C2" s="342"/>
      <c r="D2" s="342"/>
      <c r="E2" s="342"/>
      <c r="F2" s="342"/>
      <c r="G2" s="342"/>
      <c r="H2" s="342"/>
      <c r="I2" s="342"/>
      <c r="J2" s="342"/>
      <c r="K2" s="342"/>
      <c r="L2" s="342"/>
      <c r="M2" s="342"/>
      <c r="N2" s="342"/>
      <c r="O2" s="343"/>
      <c r="P2" s="343"/>
    </row>
    <row r="3" spans="1:16" ht="17.25">
      <c r="A3" s="344" t="s">
        <v>261</v>
      </c>
      <c r="B3" s="344"/>
      <c r="C3" s="344"/>
      <c r="D3" s="344"/>
      <c r="E3" s="344"/>
      <c r="F3" s="344"/>
      <c r="G3" s="344"/>
      <c r="H3" s="344"/>
      <c r="I3" s="344"/>
      <c r="J3" s="344"/>
      <c r="K3" s="344"/>
      <c r="L3" s="344"/>
      <c r="M3" s="344"/>
      <c r="N3" s="344"/>
      <c r="O3" s="345"/>
      <c r="P3" s="343"/>
    </row>
    <row r="4" spans="1:16" ht="17.25">
      <c r="A4" s="346"/>
      <c r="B4" s="346"/>
      <c r="C4" s="346"/>
      <c r="D4" s="346"/>
      <c r="E4" s="346"/>
      <c r="F4" s="346"/>
      <c r="G4" s="346"/>
      <c r="H4" s="346"/>
      <c r="I4" s="346"/>
      <c r="J4" s="346"/>
      <c r="K4" s="346"/>
      <c r="L4" s="346"/>
      <c r="M4" s="346"/>
      <c r="N4" s="346"/>
      <c r="O4" s="343"/>
      <c r="P4" s="343"/>
    </row>
    <row r="5" spans="1:16" ht="17.25">
      <c r="A5" s="347" t="s">
        <v>262</v>
      </c>
      <c r="B5" s="348" t="s">
        <v>263</v>
      </c>
      <c r="C5" s="348"/>
      <c r="D5" s="348"/>
      <c r="E5" s="349" t="s">
        <v>264</v>
      </c>
      <c r="F5" s="350" t="s">
        <v>251</v>
      </c>
      <c r="G5" s="350"/>
      <c r="H5" s="350"/>
      <c r="I5" s="348" t="s">
        <v>265</v>
      </c>
      <c r="J5" s="348"/>
      <c r="K5" s="348"/>
      <c r="L5" s="349" t="s">
        <v>266</v>
      </c>
      <c r="M5" s="349"/>
      <c r="N5" s="349"/>
      <c r="O5" s="343"/>
      <c r="P5" s="343"/>
    </row>
    <row r="6" spans="1:16" ht="21.75" customHeight="1">
      <c r="A6" s="351" t="str">
        <f>'Plan de financement'!A8</f>
        <v>Frais d'établissement </v>
      </c>
      <c r="B6" s="352">
        <f>'Plan de financement'!C8</f>
        <v>0</v>
      </c>
      <c r="C6" s="352">
        <f>'Plan de financement'!D8</f>
        <v>0</v>
      </c>
      <c r="D6" s="352">
        <f>'Plan de financement'!E8</f>
        <v>0</v>
      </c>
      <c r="E6" s="353">
        <v>1</v>
      </c>
      <c r="F6" s="354">
        <f>B6/E6</f>
        <v>0</v>
      </c>
      <c r="G6" s="354">
        <f>C6/E6</f>
        <v>0</v>
      </c>
      <c r="H6" s="354">
        <f>D6/E6</f>
        <v>0</v>
      </c>
      <c r="I6" s="354">
        <f>IF(E6&gt;1,B6/E6,0)</f>
        <v>0</v>
      </c>
      <c r="J6" s="354">
        <f>IF(E6&gt;1,C6/E6,0)</f>
        <v>0</v>
      </c>
      <c r="K6" s="354">
        <f>IF(E6&gt;1,D6/E6,0)</f>
        <v>0</v>
      </c>
      <c r="L6" s="354">
        <f>IF(E6&gt;2,B6/E6,0)</f>
        <v>0</v>
      </c>
      <c r="M6" s="354">
        <f>IF(E6&gt;2,C6/E6,0)</f>
        <v>0</v>
      </c>
      <c r="N6" s="354">
        <f>IF(E6&gt;2,D6/E6,0)</f>
        <v>0</v>
      </c>
      <c r="O6" s="343"/>
      <c r="P6" s="343"/>
    </row>
    <row r="7" spans="1:16" ht="21.75" customHeight="1">
      <c r="A7" s="355" t="str">
        <f>'Plan de financement'!A9</f>
        <v>Ouvertures compteurs</v>
      </c>
      <c r="B7" s="356">
        <f>'Plan de financement'!C9</f>
        <v>0</v>
      </c>
      <c r="C7" s="356">
        <f>'Plan de financement'!D9</f>
        <v>0</v>
      </c>
      <c r="D7" s="356">
        <f>'Plan de financement'!E9</f>
        <v>0</v>
      </c>
      <c r="E7" s="357">
        <v>1</v>
      </c>
      <c r="F7" s="358">
        <f aca="true" t="shared" si="0" ref="F7:F12">B7/E7</f>
        <v>0</v>
      </c>
      <c r="G7" s="358">
        <f aca="true" t="shared" si="1" ref="G7:G12">C7/E7</f>
        <v>0</v>
      </c>
      <c r="H7" s="358">
        <f aca="true" t="shared" si="2" ref="H7:H12">D7/E7</f>
        <v>0</v>
      </c>
      <c r="I7" s="358">
        <f aca="true" t="shared" si="3" ref="I7:I12">IF(E7&gt;1,B7/E7,0)</f>
        <v>0</v>
      </c>
      <c r="J7" s="358">
        <f aca="true" t="shared" si="4" ref="J7:J12">IF(E7&gt;1,C7/E7,0)</f>
        <v>0</v>
      </c>
      <c r="K7" s="358">
        <f aca="true" t="shared" si="5" ref="K7:K12">IF(E7&gt;1,D7/E7,0)</f>
        <v>0</v>
      </c>
      <c r="L7" s="358">
        <f aca="true" t="shared" si="6" ref="L7:L12">IF(E7&gt;2,B7/E7,0)</f>
        <v>0</v>
      </c>
      <c r="M7" s="358">
        <f aca="true" t="shared" si="7" ref="M7:M12">IF(E7&gt;2,C7/E7,0)</f>
        <v>0</v>
      </c>
      <c r="N7" s="358">
        <f aca="true" t="shared" si="8" ref="N7:N12">IF(E7&gt;2,D7/E7,0)</f>
        <v>0</v>
      </c>
      <c r="O7" s="343"/>
      <c r="P7" s="343"/>
    </row>
    <row r="8" spans="1:16" ht="23.25" customHeight="1">
      <c r="A8" s="355" t="str">
        <f>'Plan de financement'!A12</f>
        <v>Aménagement intérieur</v>
      </c>
      <c r="B8" s="356">
        <f>'Plan de financement'!C12</f>
        <v>0</v>
      </c>
      <c r="C8" s="356">
        <f>'Plan de financement'!D12</f>
        <v>0</v>
      </c>
      <c r="D8" s="356">
        <f>'Plan de financement'!E12</f>
        <v>0</v>
      </c>
      <c r="E8" s="357">
        <v>10</v>
      </c>
      <c r="F8" s="358">
        <f t="shared" si="0"/>
        <v>0</v>
      </c>
      <c r="G8" s="358">
        <f t="shared" si="1"/>
        <v>0</v>
      </c>
      <c r="H8" s="358">
        <f t="shared" si="2"/>
        <v>0</v>
      </c>
      <c r="I8" s="358">
        <f t="shared" si="3"/>
        <v>0</v>
      </c>
      <c r="J8" s="358">
        <f t="shared" si="4"/>
        <v>0</v>
      </c>
      <c r="K8" s="358">
        <f t="shared" si="5"/>
        <v>0</v>
      </c>
      <c r="L8" s="358">
        <f t="shared" si="6"/>
        <v>0</v>
      </c>
      <c r="M8" s="358">
        <f t="shared" si="7"/>
        <v>0</v>
      </c>
      <c r="N8" s="358">
        <f t="shared" si="8"/>
        <v>0</v>
      </c>
      <c r="O8" s="343"/>
      <c r="P8" s="343"/>
    </row>
    <row r="9" spans="1:16" ht="21.75" customHeight="1">
      <c r="A9" s="355" t="str">
        <f>'Plan de financement'!A13</f>
        <v>Mobilier </v>
      </c>
      <c r="B9" s="356">
        <f>'Plan de financement'!C13</f>
        <v>0</v>
      </c>
      <c r="C9" s="356">
        <f>'Plan de financement'!D13</f>
        <v>0</v>
      </c>
      <c r="D9" s="356">
        <f>'Plan de financement'!E13</f>
        <v>0</v>
      </c>
      <c r="E9" s="357">
        <v>5</v>
      </c>
      <c r="F9" s="358">
        <f t="shared" si="0"/>
        <v>0</v>
      </c>
      <c r="G9" s="358">
        <f t="shared" si="1"/>
        <v>0</v>
      </c>
      <c r="H9" s="358">
        <f t="shared" si="2"/>
        <v>0</v>
      </c>
      <c r="I9" s="358">
        <f t="shared" si="3"/>
        <v>0</v>
      </c>
      <c r="J9" s="358">
        <f t="shared" si="4"/>
        <v>0</v>
      </c>
      <c r="K9" s="358">
        <f t="shared" si="5"/>
        <v>0</v>
      </c>
      <c r="L9" s="358">
        <f t="shared" si="6"/>
        <v>0</v>
      </c>
      <c r="M9" s="358">
        <f t="shared" si="7"/>
        <v>0</v>
      </c>
      <c r="N9" s="358">
        <f t="shared" si="8"/>
        <v>0</v>
      </c>
      <c r="O9" s="343"/>
      <c r="P9" s="343"/>
    </row>
    <row r="10" spans="1:16" ht="21.75" customHeight="1">
      <c r="A10" s="355" t="str">
        <f>'Plan de financement'!A14</f>
        <v>Matériels informatiques</v>
      </c>
      <c r="B10" s="356">
        <f>'Plan de financement'!C14</f>
        <v>0</v>
      </c>
      <c r="C10" s="356">
        <f>'Plan de financement'!D14</f>
        <v>0</v>
      </c>
      <c r="D10" s="356">
        <f>'Plan de financement'!E14</f>
        <v>0</v>
      </c>
      <c r="E10" s="357">
        <v>3</v>
      </c>
      <c r="F10" s="358">
        <f t="shared" si="0"/>
        <v>0</v>
      </c>
      <c r="G10" s="358">
        <f t="shared" si="1"/>
        <v>0</v>
      </c>
      <c r="H10" s="358">
        <f t="shared" si="2"/>
        <v>0</v>
      </c>
      <c r="I10" s="358">
        <f t="shared" si="3"/>
        <v>0</v>
      </c>
      <c r="J10" s="358">
        <f t="shared" si="4"/>
        <v>0</v>
      </c>
      <c r="K10" s="358">
        <f t="shared" si="5"/>
        <v>0</v>
      </c>
      <c r="L10" s="358">
        <f t="shared" si="6"/>
        <v>0</v>
      </c>
      <c r="M10" s="358">
        <f t="shared" si="7"/>
        <v>0</v>
      </c>
      <c r="N10" s="358">
        <f t="shared" si="8"/>
        <v>0</v>
      </c>
      <c r="O10" s="343"/>
      <c r="P10" s="343"/>
    </row>
    <row r="11" spans="1:16" ht="21.75" customHeight="1">
      <c r="A11" s="355" t="str">
        <f>'Plan de financement'!A15</f>
        <v>Matériels (production, transport … )</v>
      </c>
      <c r="B11" s="356">
        <f>'Plan de financement'!C15</f>
        <v>0</v>
      </c>
      <c r="C11" s="356">
        <f>'Plan de financement'!D15</f>
        <v>0</v>
      </c>
      <c r="D11" s="356">
        <f>'Plan de financement'!E15</f>
        <v>0</v>
      </c>
      <c r="E11" s="357">
        <v>5</v>
      </c>
      <c r="F11" s="358">
        <f t="shared" si="0"/>
        <v>0</v>
      </c>
      <c r="G11" s="358">
        <f t="shared" si="1"/>
        <v>0</v>
      </c>
      <c r="H11" s="358">
        <f t="shared" si="2"/>
        <v>0</v>
      </c>
      <c r="I11" s="358">
        <f t="shared" si="3"/>
        <v>0</v>
      </c>
      <c r="J11" s="358">
        <f t="shared" si="4"/>
        <v>0</v>
      </c>
      <c r="K11" s="358">
        <f t="shared" si="5"/>
        <v>0</v>
      </c>
      <c r="L11" s="358">
        <f t="shared" si="6"/>
        <v>0</v>
      </c>
      <c r="M11" s="358">
        <f t="shared" si="7"/>
        <v>0</v>
      </c>
      <c r="N11" s="358">
        <f t="shared" si="8"/>
        <v>0</v>
      </c>
      <c r="O11" s="343"/>
      <c r="P11" s="343"/>
    </row>
    <row r="12" spans="1:16" ht="21.75" customHeight="1">
      <c r="A12" s="359" t="str">
        <f>'Plan de financement'!A16</f>
        <v>Autres</v>
      </c>
      <c r="B12" s="360">
        <f>'Plan de financement'!C16</f>
        <v>0</v>
      </c>
      <c r="C12" s="360">
        <f>'Plan de financement'!D16</f>
        <v>0</v>
      </c>
      <c r="D12" s="360">
        <f>'Plan de financement'!E16</f>
        <v>0</v>
      </c>
      <c r="E12" s="361">
        <v>5</v>
      </c>
      <c r="F12" s="362">
        <f t="shared" si="0"/>
        <v>0</v>
      </c>
      <c r="G12" s="362">
        <f t="shared" si="1"/>
        <v>0</v>
      </c>
      <c r="H12" s="362">
        <f t="shared" si="2"/>
        <v>0</v>
      </c>
      <c r="I12" s="362">
        <f t="shared" si="3"/>
        <v>0</v>
      </c>
      <c r="J12" s="362">
        <f t="shared" si="4"/>
        <v>0</v>
      </c>
      <c r="K12" s="362">
        <f t="shared" si="5"/>
        <v>0</v>
      </c>
      <c r="L12" s="362">
        <f t="shared" si="6"/>
        <v>0</v>
      </c>
      <c r="M12" s="362">
        <f t="shared" si="7"/>
        <v>0</v>
      </c>
      <c r="N12" s="362">
        <f t="shared" si="8"/>
        <v>0</v>
      </c>
      <c r="O12" s="343"/>
      <c r="P12" s="343"/>
    </row>
    <row r="13" spans="1:16" ht="22.5" customHeight="1">
      <c r="A13" s="342"/>
      <c r="B13" s="363">
        <f>SUM(B6:B12)</f>
        <v>0</v>
      </c>
      <c r="C13" s="363">
        <f>SUM(C6:C12)</f>
        <v>0</v>
      </c>
      <c r="D13" s="363">
        <f>SUM(D6:D12)</f>
        <v>0</v>
      </c>
      <c r="E13" s="364" t="s">
        <v>214</v>
      </c>
      <c r="F13" s="365">
        <f>SUM(F6:F12)*1.196</f>
        <v>0</v>
      </c>
      <c r="G13" s="365">
        <f>SUM(G6:G12)*1.196</f>
        <v>0</v>
      </c>
      <c r="H13" s="365">
        <f>SUM(H6:H12)*1.196</f>
        <v>0</v>
      </c>
      <c r="I13" s="365"/>
      <c r="J13" s="365"/>
      <c r="K13" s="365">
        <f>SUM(K7:K12)*1.196</f>
        <v>0</v>
      </c>
      <c r="L13" s="365"/>
      <c r="M13" s="365"/>
      <c r="N13" s="365">
        <f>SUM(N7:N12)*1.196</f>
        <v>0</v>
      </c>
      <c r="O13" s="343"/>
      <c r="P13" s="343"/>
    </row>
    <row r="14" spans="1:16" ht="13.5" customHeight="1">
      <c r="A14" s="342"/>
      <c r="B14" s="366"/>
      <c r="C14" s="366"/>
      <c r="D14" s="366"/>
      <c r="E14" s="346"/>
      <c r="F14" s="367"/>
      <c r="G14" s="367"/>
      <c r="H14" s="367"/>
      <c r="I14" s="367"/>
      <c r="J14" s="367"/>
      <c r="K14" s="367"/>
      <c r="L14" s="367"/>
      <c r="M14" s="367"/>
      <c r="N14" s="367"/>
      <c r="O14" s="343"/>
      <c r="P14" s="343"/>
    </row>
    <row r="15" spans="1:16" ht="17.25">
      <c r="A15" s="344" t="s">
        <v>267</v>
      </c>
      <c r="B15" s="344"/>
      <c r="C15" s="344"/>
      <c r="D15" s="344"/>
      <c r="E15" s="344"/>
      <c r="F15" s="344"/>
      <c r="G15" s="344"/>
      <c r="H15" s="344"/>
      <c r="I15" s="344"/>
      <c r="J15" s="344"/>
      <c r="K15" s="344"/>
      <c r="L15" s="344"/>
      <c r="M15" s="344"/>
      <c r="N15" s="344"/>
      <c r="O15" s="345"/>
      <c r="P15" s="343"/>
    </row>
    <row r="16" spans="1:16" ht="17.25">
      <c r="A16" s="346"/>
      <c r="B16" s="346"/>
      <c r="C16" s="346"/>
      <c r="D16" s="346"/>
      <c r="E16" s="346"/>
      <c r="F16" s="346"/>
      <c r="G16" s="346"/>
      <c r="H16" s="346"/>
      <c r="I16" s="346"/>
      <c r="J16" s="346"/>
      <c r="K16" s="346"/>
      <c r="L16" s="346"/>
      <c r="M16" s="346"/>
      <c r="N16" s="346"/>
      <c r="O16" s="343"/>
      <c r="P16" s="343"/>
    </row>
    <row r="17" spans="1:14" ht="21" customHeight="1">
      <c r="A17" s="347" t="s">
        <v>262</v>
      </c>
      <c r="B17" s="348" t="s">
        <v>263</v>
      </c>
      <c r="C17" s="348"/>
      <c r="D17" s="348"/>
      <c r="E17" s="349" t="s">
        <v>264</v>
      </c>
      <c r="F17" s="368"/>
      <c r="G17" s="368"/>
      <c r="H17" s="368"/>
      <c r="I17" s="350" t="s">
        <v>252</v>
      </c>
      <c r="J17" s="350"/>
      <c r="K17" s="350"/>
      <c r="L17" s="348" t="s">
        <v>266</v>
      </c>
      <c r="M17" s="348"/>
      <c r="N17" s="348"/>
    </row>
    <row r="18" spans="1:14" ht="21.75" customHeight="1">
      <c r="A18" s="351" t="str">
        <f aca="true" t="shared" si="9" ref="A18:A24">A6</f>
        <v>Frais d'établissement </v>
      </c>
      <c r="B18" s="352">
        <f>'Plan de financement'!G8</f>
        <v>0</v>
      </c>
      <c r="C18" s="352">
        <f>'Plan de financement'!H8</f>
        <v>0</v>
      </c>
      <c r="D18" s="352">
        <f>'Plan de financement'!I8</f>
        <v>0</v>
      </c>
      <c r="E18" s="353">
        <v>1</v>
      </c>
      <c r="F18" s="368"/>
      <c r="G18" s="368"/>
      <c r="H18" s="368"/>
      <c r="I18" s="354">
        <f aca="true" t="shared" si="10" ref="I18:I24">B18/E18</f>
        <v>0</v>
      </c>
      <c r="J18" s="354">
        <f aca="true" t="shared" si="11" ref="J18:J24">C18/E18</f>
        <v>0</v>
      </c>
      <c r="K18" s="354">
        <f aca="true" t="shared" si="12" ref="K18:K24">D18/E18</f>
        <v>0</v>
      </c>
      <c r="L18" s="354">
        <f aca="true" t="shared" si="13" ref="L18:L24">IF(E18&gt;1,B18/E18,0)</f>
        <v>0</v>
      </c>
      <c r="M18" s="354">
        <f aca="true" t="shared" si="14" ref="M18:M24">IF(E18&gt;1,C18/E18,0)</f>
        <v>0</v>
      </c>
      <c r="N18" s="354">
        <f aca="true" t="shared" si="15" ref="N18:N24">IF(E18&gt;1,D18/E18,0)</f>
        <v>0</v>
      </c>
    </row>
    <row r="19" spans="1:14" ht="21.75" customHeight="1">
      <c r="A19" s="355" t="str">
        <f t="shared" si="9"/>
        <v>Ouvertures compteurs</v>
      </c>
      <c r="B19" s="356">
        <f>'Plan de financement'!G9</f>
        <v>0</v>
      </c>
      <c r="C19" s="356">
        <f>'Plan de financement'!H9</f>
        <v>0</v>
      </c>
      <c r="D19" s="356">
        <f>'Plan de financement'!I9</f>
        <v>0</v>
      </c>
      <c r="E19" s="357">
        <v>1</v>
      </c>
      <c r="F19" s="368"/>
      <c r="G19" s="368"/>
      <c r="H19" s="368"/>
      <c r="I19" s="358">
        <f t="shared" si="10"/>
        <v>0</v>
      </c>
      <c r="J19" s="358">
        <f t="shared" si="11"/>
        <v>0</v>
      </c>
      <c r="K19" s="358">
        <f t="shared" si="12"/>
        <v>0</v>
      </c>
      <c r="L19" s="358">
        <f t="shared" si="13"/>
        <v>0</v>
      </c>
      <c r="M19" s="358">
        <f t="shared" si="14"/>
        <v>0</v>
      </c>
      <c r="N19" s="358">
        <f t="shared" si="15"/>
        <v>0</v>
      </c>
    </row>
    <row r="20" spans="1:14" ht="21.75" customHeight="1">
      <c r="A20" s="355" t="str">
        <f t="shared" si="9"/>
        <v>Aménagement intérieur</v>
      </c>
      <c r="B20" s="356">
        <f>'Plan de financement'!G12</f>
        <v>0</v>
      </c>
      <c r="C20" s="356">
        <f>'Plan de financement'!H12</f>
        <v>0</v>
      </c>
      <c r="D20" s="356">
        <f>'Plan de financement'!I12</f>
        <v>0</v>
      </c>
      <c r="E20" s="357">
        <v>10</v>
      </c>
      <c r="F20" s="368"/>
      <c r="G20" s="368"/>
      <c r="H20" s="368"/>
      <c r="I20" s="358">
        <f t="shared" si="10"/>
        <v>0</v>
      </c>
      <c r="J20" s="358">
        <f t="shared" si="11"/>
        <v>0</v>
      </c>
      <c r="K20" s="358">
        <f t="shared" si="12"/>
        <v>0</v>
      </c>
      <c r="L20" s="358">
        <f t="shared" si="13"/>
        <v>0</v>
      </c>
      <c r="M20" s="358">
        <f t="shared" si="14"/>
        <v>0</v>
      </c>
      <c r="N20" s="358">
        <f t="shared" si="15"/>
        <v>0</v>
      </c>
    </row>
    <row r="21" spans="1:14" ht="21.75" customHeight="1">
      <c r="A21" s="355" t="str">
        <f t="shared" si="9"/>
        <v>Mobilier </v>
      </c>
      <c r="B21" s="356">
        <f>'Plan de financement'!G13</f>
        <v>0</v>
      </c>
      <c r="C21" s="356">
        <f>'Plan de financement'!H13</f>
        <v>0</v>
      </c>
      <c r="D21" s="356">
        <f>'Plan de financement'!I13</f>
        <v>0</v>
      </c>
      <c r="E21" s="357">
        <v>5</v>
      </c>
      <c r="F21" s="368"/>
      <c r="G21" s="368"/>
      <c r="H21" s="368"/>
      <c r="I21" s="358">
        <f t="shared" si="10"/>
        <v>0</v>
      </c>
      <c r="J21" s="358">
        <f t="shared" si="11"/>
        <v>0</v>
      </c>
      <c r="K21" s="358">
        <f t="shared" si="12"/>
        <v>0</v>
      </c>
      <c r="L21" s="358">
        <f t="shared" si="13"/>
        <v>0</v>
      </c>
      <c r="M21" s="358">
        <f t="shared" si="14"/>
        <v>0</v>
      </c>
      <c r="N21" s="358">
        <f t="shared" si="15"/>
        <v>0</v>
      </c>
    </row>
    <row r="22" spans="1:14" ht="23.25" customHeight="1">
      <c r="A22" s="355" t="str">
        <f t="shared" si="9"/>
        <v>Matériels informatiques</v>
      </c>
      <c r="B22" s="356">
        <f>'Plan de financement'!G14</f>
        <v>0</v>
      </c>
      <c r="C22" s="356">
        <f>'Plan de financement'!H14</f>
        <v>0</v>
      </c>
      <c r="D22" s="356">
        <f>'Plan de financement'!I14</f>
        <v>0</v>
      </c>
      <c r="E22" s="357">
        <v>3</v>
      </c>
      <c r="F22" s="368"/>
      <c r="G22" s="368"/>
      <c r="H22" s="368"/>
      <c r="I22" s="358">
        <f t="shared" si="10"/>
        <v>0</v>
      </c>
      <c r="J22" s="358">
        <f t="shared" si="11"/>
        <v>0</v>
      </c>
      <c r="K22" s="358">
        <f t="shared" si="12"/>
        <v>0</v>
      </c>
      <c r="L22" s="358">
        <f t="shared" si="13"/>
        <v>0</v>
      </c>
      <c r="M22" s="358">
        <f t="shared" si="14"/>
        <v>0</v>
      </c>
      <c r="N22" s="358">
        <f t="shared" si="15"/>
        <v>0</v>
      </c>
    </row>
    <row r="23" spans="1:14" ht="26.25" customHeight="1">
      <c r="A23" s="355" t="str">
        <f t="shared" si="9"/>
        <v>Matériels (production, transport … )</v>
      </c>
      <c r="B23" s="356">
        <f>'Plan de financement'!G15</f>
        <v>0</v>
      </c>
      <c r="C23" s="356">
        <f>'Plan de financement'!H15</f>
        <v>0</v>
      </c>
      <c r="D23" s="356">
        <f>'Plan de financement'!I15</f>
        <v>0</v>
      </c>
      <c r="E23" s="357">
        <v>5</v>
      </c>
      <c r="F23" s="368"/>
      <c r="G23" s="368"/>
      <c r="H23" s="368"/>
      <c r="I23" s="358">
        <f t="shared" si="10"/>
        <v>0</v>
      </c>
      <c r="J23" s="358">
        <f t="shared" si="11"/>
        <v>0</v>
      </c>
      <c r="K23" s="358">
        <f t="shared" si="12"/>
        <v>0</v>
      </c>
      <c r="L23" s="358">
        <f t="shared" si="13"/>
        <v>0</v>
      </c>
      <c r="M23" s="358">
        <f t="shared" si="14"/>
        <v>0</v>
      </c>
      <c r="N23" s="358">
        <f t="shared" si="15"/>
        <v>0</v>
      </c>
    </row>
    <row r="24" spans="1:14" ht="21.75" customHeight="1">
      <c r="A24" s="359" t="str">
        <f t="shared" si="9"/>
        <v>Autres</v>
      </c>
      <c r="B24" s="360">
        <f>'Plan de financement'!G16</f>
        <v>0</v>
      </c>
      <c r="C24" s="360">
        <f>'Plan de financement'!H16</f>
        <v>0</v>
      </c>
      <c r="D24" s="360">
        <f>'Plan de financement'!I16</f>
        <v>0</v>
      </c>
      <c r="E24" s="361">
        <v>5</v>
      </c>
      <c r="F24" s="368"/>
      <c r="G24" s="368"/>
      <c r="H24" s="368"/>
      <c r="I24" s="362">
        <f t="shared" si="10"/>
        <v>0</v>
      </c>
      <c r="J24" s="362">
        <f t="shared" si="11"/>
        <v>0</v>
      </c>
      <c r="K24" s="362">
        <f t="shared" si="12"/>
        <v>0</v>
      </c>
      <c r="L24" s="362">
        <f t="shared" si="13"/>
        <v>0</v>
      </c>
      <c r="M24" s="362">
        <f t="shared" si="14"/>
        <v>0</v>
      </c>
      <c r="N24" s="362">
        <f t="shared" si="15"/>
        <v>0</v>
      </c>
    </row>
    <row r="25" spans="1:14" ht="25.5" customHeight="1">
      <c r="A25" s="342"/>
      <c r="B25" s="363">
        <f>SUM(B18:B24)</f>
        <v>0</v>
      </c>
      <c r="C25" s="363">
        <f>SUM(C18:C24)</f>
        <v>0</v>
      </c>
      <c r="D25" s="363">
        <f>SUM(D18:D24)</f>
        <v>0</v>
      </c>
      <c r="E25" s="364" t="s">
        <v>214</v>
      </c>
      <c r="F25" s="368"/>
      <c r="G25" s="368"/>
      <c r="H25" s="368"/>
      <c r="I25" s="365">
        <f>SUM(I18:I24)*1.196</f>
        <v>0</v>
      </c>
      <c r="J25" s="365">
        <f>SUM(J18:J24)*1.196</f>
        <v>0</v>
      </c>
      <c r="K25" s="365">
        <f>SUM(K18:K24)*1.196</f>
        <v>0</v>
      </c>
      <c r="L25" s="365"/>
      <c r="M25" s="365"/>
      <c r="N25" s="365">
        <f>SUM(N19:N24)*1.196</f>
        <v>0</v>
      </c>
    </row>
    <row r="26" spans="1:16" ht="13.5" customHeight="1">
      <c r="A26" s="342"/>
      <c r="B26" s="366"/>
      <c r="C26" s="366"/>
      <c r="D26" s="366"/>
      <c r="E26" s="346"/>
      <c r="F26" s="367"/>
      <c r="G26" s="367"/>
      <c r="H26" s="367"/>
      <c r="I26" s="367"/>
      <c r="J26" s="367"/>
      <c r="K26" s="367"/>
      <c r="L26" s="367"/>
      <c r="M26" s="367"/>
      <c r="N26" s="367"/>
      <c r="O26" s="343"/>
      <c r="P26" s="343"/>
    </row>
    <row r="27" spans="1:16" ht="21" customHeight="1">
      <c r="A27" s="344" t="s">
        <v>267</v>
      </c>
      <c r="B27" s="344"/>
      <c r="C27" s="344"/>
      <c r="D27" s="344"/>
      <c r="E27" s="344"/>
      <c r="F27" s="344"/>
      <c r="G27" s="344"/>
      <c r="H27" s="344"/>
      <c r="I27" s="344"/>
      <c r="J27" s="344"/>
      <c r="K27" s="344"/>
      <c r="L27" s="344"/>
      <c r="M27" s="344"/>
      <c r="N27" s="344"/>
      <c r="O27" s="343"/>
      <c r="P27" s="343"/>
    </row>
    <row r="28" spans="1:16" ht="13.5" customHeight="1">
      <c r="A28" s="346"/>
      <c r="B28" s="346"/>
      <c r="C28" s="346"/>
      <c r="D28" s="346"/>
      <c r="E28" s="346"/>
      <c r="F28" s="346"/>
      <c r="G28" s="346"/>
      <c r="H28" s="346"/>
      <c r="I28" s="346"/>
      <c r="J28" s="346"/>
      <c r="K28" s="346"/>
      <c r="L28" s="346"/>
      <c r="M28" s="346"/>
      <c r="N28" s="346"/>
      <c r="O28" s="343"/>
      <c r="P28" s="343"/>
    </row>
    <row r="29" spans="1:14" ht="19.5" customHeight="1">
      <c r="A29" s="347" t="s">
        <v>262</v>
      </c>
      <c r="B29" s="348" t="s">
        <v>263</v>
      </c>
      <c r="C29" s="348"/>
      <c r="D29" s="348"/>
      <c r="E29" s="349" t="s">
        <v>264</v>
      </c>
      <c r="F29" s="368"/>
      <c r="G29" s="368"/>
      <c r="H29" s="368"/>
      <c r="I29" s="342"/>
      <c r="J29" s="342"/>
      <c r="K29" s="368"/>
      <c r="L29" s="350" t="s">
        <v>253</v>
      </c>
      <c r="M29" s="350"/>
      <c r="N29" s="350"/>
    </row>
    <row r="30" spans="1:14" ht="21" customHeight="1">
      <c r="A30" s="351" t="str">
        <f aca="true" t="shared" si="16" ref="A30:A36">A18</f>
        <v>Frais d'établissement </v>
      </c>
      <c r="B30" s="352">
        <f>'Plan de financement'!K8</f>
        <v>0</v>
      </c>
      <c r="C30" s="352">
        <f>'Plan de financement'!L8</f>
        <v>0</v>
      </c>
      <c r="D30" s="352">
        <f>'Plan de financement'!M8</f>
        <v>0</v>
      </c>
      <c r="E30" s="353">
        <v>1</v>
      </c>
      <c r="F30" s="368"/>
      <c r="G30" s="368"/>
      <c r="H30" s="368"/>
      <c r="I30" s="342"/>
      <c r="J30" s="342"/>
      <c r="K30" s="368"/>
      <c r="L30" s="354">
        <f aca="true" t="shared" si="17" ref="L30:L36">B30/E30</f>
        <v>0</v>
      </c>
      <c r="M30" s="354">
        <f aca="true" t="shared" si="18" ref="M30:M36">C30/E30</f>
        <v>0</v>
      </c>
      <c r="N30" s="354">
        <f aca="true" t="shared" si="19" ref="N30:N36">D30/E30</f>
        <v>0</v>
      </c>
    </row>
    <row r="31" spans="1:14" ht="16.5" customHeight="1">
      <c r="A31" s="355" t="str">
        <f t="shared" si="16"/>
        <v>Ouvertures compteurs</v>
      </c>
      <c r="B31" s="356">
        <f>'Plan de financement'!K9</f>
        <v>0</v>
      </c>
      <c r="C31" s="356">
        <f>'Plan de financement'!L9</f>
        <v>0</v>
      </c>
      <c r="D31" s="356">
        <f>'Plan de financement'!M9</f>
        <v>0</v>
      </c>
      <c r="E31" s="357">
        <v>1</v>
      </c>
      <c r="F31" s="368"/>
      <c r="G31" s="368"/>
      <c r="H31" s="368"/>
      <c r="I31" s="342"/>
      <c r="J31" s="342"/>
      <c r="K31" s="368"/>
      <c r="L31" s="358">
        <f t="shared" si="17"/>
        <v>0</v>
      </c>
      <c r="M31" s="358">
        <f t="shared" si="18"/>
        <v>0</v>
      </c>
      <c r="N31" s="358">
        <f t="shared" si="19"/>
        <v>0</v>
      </c>
    </row>
    <row r="32" spans="1:14" ht="22.5" customHeight="1">
      <c r="A32" s="355" t="str">
        <f t="shared" si="16"/>
        <v>Aménagement intérieur</v>
      </c>
      <c r="B32" s="356">
        <f>'Plan de financement'!K12</f>
        <v>0</v>
      </c>
      <c r="C32" s="356">
        <f>'Plan de financement'!L12</f>
        <v>0</v>
      </c>
      <c r="D32" s="356">
        <f>'Plan de financement'!M12</f>
        <v>0</v>
      </c>
      <c r="E32" s="357">
        <v>10</v>
      </c>
      <c r="F32" s="368"/>
      <c r="G32" s="368"/>
      <c r="H32" s="368"/>
      <c r="I32" s="342"/>
      <c r="J32" s="342"/>
      <c r="K32" s="368"/>
      <c r="L32" s="358">
        <f t="shared" si="17"/>
        <v>0</v>
      </c>
      <c r="M32" s="358">
        <f t="shared" si="18"/>
        <v>0</v>
      </c>
      <c r="N32" s="358">
        <f t="shared" si="19"/>
        <v>0</v>
      </c>
    </row>
    <row r="33" spans="1:14" ht="16.5" customHeight="1">
      <c r="A33" s="355" t="str">
        <f t="shared" si="16"/>
        <v>Mobilier </v>
      </c>
      <c r="B33" s="356">
        <f>'Plan de financement'!K13</f>
        <v>0</v>
      </c>
      <c r="C33" s="356">
        <f>'Plan de financement'!L13</f>
        <v>0</v>
      </c>
      <c r="D33" s="356">
        <f>'Plan de financement'!M13</f>
        <v>0</v>
      </c>
      <c r="E33" s="357">
        <v>5</v>
      </c>
      <c r="F33" s="368"/>
      <c r="G33" s="368"/>
      <c r="H33" s="368"/>
      <c r="I33" s="342"/>
      <c r="J33" s="342"/>
      <c r="K33" s="368"/>
      <c r="L33" s="358">
        <f t="shared" si="17"/>
        <v>0</v>
      </c>
      <c r="M33" s="358">
        <f t="shared" si="18"/>
        <v>0</v>
      </c>
      <c r="N33" s="358">
        <f t="shared" si="19"/>
        <v>0</v>
      </c>
    </row>
    <row r="34" spans="1:14" ht="21" customHeight="1">
      <c r="A34" s="355" t="str">
        <f t="shared" si="16"/>
        <v>Matériels informatiques</v>
      </c>
      <c r="B34" s="356">
        <f>'Plan de financement'!K14</f>
        <v>0</v>
      </c>
      <c r="C34" s="356">
        <f>'Plan de financement'!L14</f>
        <v>0</v>
      </c>
      <c r="D34" s="356">
        <f>'Plan de financement'!M14</f>
        <v>0</v>
      </c>
      <c r="E34" s="357">
        <v>3</v>
      </c>
      <c r="F34" s="368"/>
      <c r="G34" s="368"/>
      <c r="H34" s="368"/>
      <c r="I34" s="342"/>
      <c r="J34" s="342"/>
      <c r="K34" s="368"/>
      <c r="L34" s="358">
        <f t="shared" si="17"/>
        <v>0</v>
      </c>
      <c r="M34" s="358">
        <f t="shared" si="18"/>
        <v>0</v>
      </c>
      <c r="N34" s="358">
        <f t="shared" si="19"/>
        <v>0</v>
      </c>
    </row>
    <row r="35" spans="1:14" ht="22.5" customHeight="1">
      <c r="A35" s="355" t="str">
        <f t="shared" si="16"/>
        <v>Matériels (production, transport … )</v>
      </c>
      <c r="B35" s="356">
        <f>'Plan de financement'!K15</f>
        <v>0</v>
      </c>
      <c r="C35" s="356">
        <f>'Plan de financement'!L15</f>
        <v>0</v>
      </c>
      <c r="D35" s="356">
        <f>'Plan de financement'!M15</f>
        <v>0</v>
      </c>
      <c r="E35" s="357">
        <v>5</v>
      </c>
      <c r="F35" s="368"/>
      <c r="G35" s="368"/>
      <c r="H35" s="368"/>
      <c r="I35" s="342"/>
      <c r="J35" s="342"/>
      <c r="K35" s="368"/>
      <c r="L35" s="358">
        <f t="shared" si="17"/>
        <v>0</v>
      </c>
      <c r="M35" s="358">
        <f t="shared" si="18"/>
        <v>0</v>
      </c>
      <c r="N35" s="358">
        <f t="shared" si="19"/>
        <v>0</v>
      </c>
    </row>
    <row r="36" spans="1:14" ht="13.5" customHeight="1">
      <c r="A36" s="359" t="str">
        <f t="shared" si="16"/>
        <v>Autres</v>
      </c>
      <c r="B36" s="360">
        <f>'Plan de financement'!K16</f>
        <v>0</v>
      </c>
      <c r="C36" s="360">
        <f>'Plan de financement'!L16</f>
        <v>0</v>
      </c>
      <c r="D36" s="360">
        <f>'Plan de financement'!M16</f>
        <v>0</v>
      </c>
      <c r="E36" s="361">
        <v>5</v>
      </c>
      <c r="F36" s="368"/>
      <c r="G36" s="368"/>
      <c r="H36" s="368"/>
      <c r="I36" s="342"/>
      <c r="J36" s="342"/>
      <c r="K36" s="368"/>
      <c r="L36" s="362">
        <f t="shared" si="17"/>
        <v>0</v>
      </c>
      <c r="M36" s="362">
        <f t="shared" si="18"/>
        <v>0</v>
      </c>
      <c r="N36" s="362">
        <f t="shared" si="19"/>
        <v>0</v>
      </c>
    </row>
    <row r="37" spans="1:14" ht="21" customHeight="1">
      <c r="A37" s="342"/>
      <c r="B37" s="363">
        <f>SUM(B30:B36)</f>
        <v>0</v>
      </c>
      <c r="C37" s="363">
        <f>SUM(C30:C36)</f>
        <v>0</v>
      </c>
      <c r="D37" s="363">
        <f>SUM(D30:D36)</f>
        <v>0</v>
      </c>
      <c r="E37" s="364" t="s">
        <v>214</v>
      </c>
      <c r="F37" s="368"/>
      <c r="G37" s="368"/>
      <c r="H37" s="368"/>
      <c r="I37" s="342"/>
      <c r="J37" s="342"/>
      <c r="K37" s="368"/>
      <c r="L37" s="365">
        <f>SUM(L30:L36)*1.196</f>
        <v>0</v>
      </c>
      <c r="M37" s="365">
        <f>SUM(M30:M36)*1.196</f>
        <v>0</v>
      </c>
      <c r="N37" s="365">
        <f>SUM(N30:N36)*1.196</f>
        <v>0</v>
      </c>
    </row>
    <row r="38" spans="1:16" ht="13.5" customHeight="1">
      <c r="A38" s="342"/>
      <c r="B38" s="366"/>
      <c r="C38" s="366"/>
      <c r="D38" s="366"/>
      <c r="E38" s="346"/>
      <c r="F38" s="367"/>
      <c r="G38" s="367"/>
      <c r="H38" s="367"/>
      <c r="I38" s="367"/>
      <c r="J38" s="367"/>
      <c r="K38" s="367"/>
      <c r="L38" s="367"/>
      <c r="M38" s="367"/>
      <c r="N38" s="367"/>
      <c r="O38" s="343"/>
      <c r="P38" s="343"/>
    </row>
    <row r="39" spans="1:16" ht="13.5" customHeight="1">
      <c r="A39" s="342"/>
      <c r="B39" s="366"/>
      <c r="C39" s="366"/>
      <c r="D39" s="366"/>
      <c r="E39" s="346"/>
      <c r="F39" s="367"/>
      <c r="G39" s="367"/>
      <c r="H39" s="367"/>
      <c r="I39" s="367"/>
      <c r="J39" s="367"/>
      <c r="K39" s="367"/>
      <c r="L39" s="367"/>
      <c r="M39" s="367"/>
      <c r="N39" s="367"/>
      <c r="O39" s="343"/>
      <c r="P39" s="343"/>
    </row>
    <row r="40" spans="1:16" ht="17.25">
      <c r="A40" s="342"/>
      <c r="B40" s="366"/>
      <c r="C40" s="366"/>
      <c r="D40" s="366"/>
      <c r="E40" s="346"/>
      <c r="F40" s="367"/>
      <c r="G40" s="367"/>
      <c r="H40" s="367"/>
      <c r="I40" s="367"/>
      <c r="J40" s="367"/>
      <c r="K40" s="367"/>
      <c r="L40" s="367"/>
      <c r="M40" s="367"/>
      <c r="N40" s="367"/>
      <c r="O40" s="343"/>
      <c r="P40" s="343"/>
    </row>
    <row r="41" spans="1:16" ht="17.25">
      <c r="A41" s="342"/>
      <c r="B41" s="366"/>
      <c r="C41" s="366"/>
      <c r="D41" s="366"/>
      <c r="E41" s="346"/>
      <c r="F41" s="367"/>
      <c r="G41" s="367"/>
      <c r="H41" s="367"/>
      <c r="I41" s="367"/>
      <c r="J41" s="367"/>
      <c r="K41" s="367"/>
      <c r="L41" s="367"/>
      <c r="M41" s="367"/>
      <c r="N41" s="367"/>
      <c r="O41" s="343"/>
      <c r="P41" s="343"/>
    </row>
    <row r="42" spans="1:14" ht="17.25">
      <c r="A42" s="368"/>
      <c r="B42" s="368"/>
      <c r="C42" s="368"/>
      <c r="D42" s="368"/>
      <c r="E42" s="368"/>
      <c r="F42" s="368"/>
      <c r="G42" s="368"/>
      <c r="H42" s="368"/>
      <c r="I42" s="368"/>
      <c r="J42" s="368"/>
      <c r="K42" s="368"/>
      <c r="L42" s="368"/>
      <c r="M42" s="368"/>
      <c r="N42" s="368"/>
    </row>
    <row r="43" spans="1:14" ht="21.75" customHeight="1">
      <c r="A43" s="368"/>
      <c r="B43" s="369" t="s">
        <v>268</v>
      </c>
      <c r="C43" s="369"/>
      <c r="D43" s="369"/>
      <c r="E43" s="368"/>
      <c r="F43" s="368"/>
      <c r="G43" s="368"/>
      <c r="H43" s="368"/>
      <c r="I43" s="368"/>
      <c r="J43" s="368"/>
      <c r="K43" s="368"/>
      <c r="L43" s="368"/>
      <c r="M43" s="368"/>
      <c r="N43" s="368"/>
    </row>
    <row r="44" spans="1:14" ht="17.25">
      <c r="A44" s="368"/>
      <c r="B44" s="368"/>
      <c r="C44" s="368"/>
      <c r="D44" s="368"/>
      <c r="E44" s="368"/>
      <c r="F44" s="368"/>
      <c r="G44" s="368"/>
      <c r="H44" s="368"/>
      <c r="I44" s="368"/>
      <c r="J44" s="368"/>
      <c r="K44" s="368"/>
      <c r="L44" s="368"/>
      <c r="M44" s="368"/>
      <c r="N44" s="368"/>
    </row>
    <row r="45" spans="1:14" ht="29.25" customHeight="1">
      <c r="A45" s="368"/>
      <c r="B45" s="370" t="s">
        <v>269</v>
      </c>
      <c r="C45" s="370" t="s">
        <v>270</v>
      </c>
      <c r="D45" s="370" t="s">
        <v>271</v>
      </c>
      <c r="E45" s="370" t="s">
        <v>272</v>
      </c>
      <c r="F45" s="368"/>
      <c r="G45" s="368"/>
      <c r="H45" s="368"/>
      <c r="I45" s="368"/>
      <c r="J45" s="368"/>
      <c r="K45" s="368"/>
      <c r="L45" s="368"/>
      <c r="M45" s="368"/>
      <c r="N45" s="368"/>
    </row>
    <row r="46" spans="1:14" ht="23.25" customHeight="1">
      <c r="A46" s="371" t="s">
        <v>82</v>
      </c>
      <c r="B46" s="372">
        <f>F13</f>
        <v>0</v>
      </c>
      <c r="C46" s="372">
        <f>G13</f>
        <v>0</v>
      </c>
      <c r="D46" s="372">
        <f>H13</f>
        <v>0</v>
      </c>
      <c r="E46" s="373">
        <f>B46+C46+D46</f>
        <v>0</v>
      </c>
      <c r="F46" s="368"/>
      <c r="G46" s="368"/>
      <c r="H46" s="368"/>
      <c r="I46" s="368"/>
      <c r="J46" s="368"/>
      <c r="K46" s="368"/>
      <c r="L46" s="368"/>
      <c r="M46" s="368"/>
      <c r="N46" s="368"/>
    </row>
    <row r="47" spans="1:14" ht="23.25" customHeight="1">
      <c r="A47" s="371" t="s">
        <v>143</v>
      </c>
      <c r="B47" s="372">
        <f>I13+I25</f>
        <v>0</v>
      </c>
      <c r="C47" s="372">
        <f>J13+J25</f>
        <v>0</v>
      </c>
      <c r="D47" s="372">
        <f>K13+K25</f>
        <v>0</v>
      </c>
      <c r="E47" s="373">
        <f>B47+C47+D47</f>
        <v>0</v>
      </c>
      <c r="F47" s="368"/>
      <c r="G47" s="368"/>
      <c r="H47" s="368"/>
      <c r="I47" s="368"/>
      <c r="J47" s="368"/>
      <c r="K47" s="368"/>
      <c r="L47" s="368"/>
      <c r="M47" s="368"/>
      <c r="N47" s="368"/>
    </row>
    <row r="48" spans="1:5" ht="26.25" customHeight="1">
      <c r="A48" s="374" t="s">
        <v>147</v>
      </c>
      <c r="B48" s="375">
        <f>L25+L37</f>
        <v>0</v>
      </c>
      <c r="C48" s="375">
        <f>M25+M37</f>
        <v>0</v>
      </c>
      <c r="D48" s="375">
        <f>N25+N37</f>
        <v>0</v>
      </c>
      <c r="E48" s="373">
        <f>B48+C48+D48</f>
        <v>0</v>
      </c>
    </row>
  </sheetData>
  <sheetProtection sheet="1" objects="1" scenarios="1"/>
  <mergeCells count="12">
    <mergeCell ref="A3:N3"/>
    <mergeCell ref="B5:D5"/>
    <mergeCell ref="F5:H5"/>
    <mergeCell ref="I5:K5"/>
    <mergeCell ref="L5:N5"/>
    <mergeCell ref="A15:N15"/>
    <mergeCell ref="B17:D17"/>
    <mergeCell ref="I17:K17"/>
    <mergeCell ref="L17:N17"/>
    <mergeCell ref="A27:N27"/>
    <mergeCell ref="B29:D29"/>
    <mergeCell ref="L29:N29"/>
  </mergeCells>
  <printOptions/>
  <pageMargins left="0.7902777777777777" right="0.7479166666666667" top="1.15" bottom="0.4097222222222222" header="1.15" footer="0.5118055555555555"/>
  <pageSetup fitToHeight="1" fitToWidth="1" horizontalDpi="300" verticalDpi="300" orientation="landscape" paperSize="9"/>
  <headerFooter alignWithMargins="0">
    <oddHeader>&amp;CPrévisionnel</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2004-02-02T09:06:03Z</cp:lastPrinted>
  <dcterms:created xsi:type="dcterms:W3CDTF">1999-05-20T15:05:05Z</dcterms:created>
  <dcterms:modified xsi:type="dcterms:W3CDTF">2009-07-05T17:19:25Z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-1063822477</vt:i4>
  </property>
  <property fmtid="{D5CDD505-2E9C-101B-9397-08002B2CF9AE}" pid="3" name="_AuthorEmail">
    <vt:lpwstr>jp.martin@espace-bg.com</vt:lpwstr>
  </property>
  <property fmtid="{D5CDD505-2E9C-101B-9397-08002B2CF9AE}" pid="4" name="_AuthorEmailDisplayName">
    <vt:lpwstr>Jean-Pierre Martin</vt:lpwstr>
  </property>
  <property fmtid="{D5CDD505-2E9C-101B-9397-08002B2CF9AE}" pid="5" name="_PreviousAdHocReviewCycleID">
    <vt:i4>-1515754628</vt:i4>
  </property>
</Properties>
</file>